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830744D2-5D23-4144-86C8-511596A8CEF2}" xr6:coauthVersionLast="47" xr6:coauthVersionMax="47" xr10:uidLastSave="{00000000-0000-0000-0000-000000000000}"/>
  <workbookProtection workbookAlgorithmName="SHA-512" workbookHashValue="v53GbJMFnERtS3YLiVUrTrBuBED08cG1PRsfOCfPQggs3L7zHTV+YhiXz1xfbWLPtVCGVEoUjej91XUeZmewiQ==" workbookSaltValue="sdqHeuOxIihbfmKpGmeHSg==" workbookSpinCount="100000" lockStructure="1"/>
  <bookViews>
    <workbookView xWindow="-14685" yWindow="-16320" windowWidth="29040" windowHeight="15720" tabRatio="694" firstSheet="1" activeTab="1" xr2:uid="{994EC860-6224-46C4-B304-9868EEFCD4CE}"/>
  </bookViews>
  <sheets>
    <sheet name="Tables" sheetId="2" state="veryHidden" r:id="rId1"/>
    <sheet name="License" sheetId="4" r:id="rId2"/>
    <sheet name="General Instructions" sheetId="9" r:id="rId3"/>
    <sheet name="Form 2F.1 - Design" sheetId="5" r:id="rId4"/>
    <sheet name="Form 3F - As-built" sheetId="6" r:id="rId5"/>
  </sheets>
  <definedNames>
    <definedName name="_Hlk16666466" localSheetId="3">'Form 2F.1 - Design'!$AW$30</definedName>
    <definedName name="Logo">INDEX(Tables!$F$40:$F$46,MATCH(Tables!$F$14,Tables!$E$40:$E$46,0))</definedName>
    <definedName name="Material">Tables!$D$2:$D$10</definedName>
    <definedName name="_xlnm.Print_Area" localSheetId="3">'Form 2F.1 - Design'!$A$1:$AK$248</definedName>
    <definedName name="_xlnm.Print_Area" localSheetId="4">'Form 3F - As-built'!$A$1:$AL$237</definedName>
    <definedName name="_xlnm.Print_Titles" localSheetId="3">'Form 2F.1 - Design'!$1:$5</definedName>
    <definedName name="_xlnm.Print_Titles" localSheetId="4">'Form 3F - As-built'!$1:$4</definedName>
    <definedName name="Shape">Tables!$F$2:$F$10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3" i="6" l="1"/>
  <c r="N32" i="6"/>
  <c r="I33" i="6"/>
  <c r="I32" i="6"/>
  <c r="L201" i="6"/>
  <c r="AM46" i="6"/>
  <c r="I46" i="6"/>
  <c r="AL97" i="5" l="1"/>
  <c r="AM97" i="5"/>
  <c r="AL91" i="5"/>
  <c r="AM95" i="5"/>
  <c r="AM91" i="5"/>
  <c r="L217" i="5" l="1"/>
  <c r="AM71" i="5"/>
  <c r="AN71" i="5" s="1"/>
  <c r="L216" i="5" s="1"/>
  <c r="AM69" i="5" l="1"/>
  <c r="L215" i="5" s="1"/>
  <c r="AO59" i="5"/>
  <c r="AN59" i="5"/>
  <c r="AM59" i="5"/>
  <c r="AM122" i="5" l="1"/>
  <c r="AL122" i="5"/>
  <c r="AL224" i="5"/>
  <c r="AR124" i="5"/>
  <c r="AS124" i="5" s="1"/>
  <c r="AQ126" i="5" s="1"/>
  <c r="AQ124" i="5"/>
  <c r="U124" i="5" s="1"/>
  <c r="AL51" i="5"/>
  <c r="P22" i="2"/>
  <c r="P19" i="2"/>
  <c r="AD6" i="6"/>
  <c r="J23" i="2" l="1"/>
  <c r="L222" i="5"/>
  <c r="AL222" i="5" s="1"/>
  <c r="AL172" i="5"/>
  <c r="AM170" i="5"/>
  <c r="AL170" i="5"/>
  <c r="AM168" i="5"/>
  <c r="AL168" i="5"/>
  <c r="B6" i="9"/>
  <c r="B34" i="9" s="1"/>
  <c r="B35" i="9" s="1"/>
  <c r="F38" i="2"/>
  <c r="O1" i="4"/>
  <c r="F37" i="2"/>
  <c r="AX19" i="5" s="1"/>
  <c r="F33" i="2"/>
  <c r="AP158" i="5" s="1"/>
  <c r="F32" i="2"/>
  <c r="AO158" i="5" s="1"/>
  <c r="F31" i="2"/>
  <c r="AP156" i="5" s="1"/>
  <c r="F29" i="2"/>
  <c r="F28" i="2"/>
  <c r="AW16" i="5" s="1"/>
  <c r="F27" i="2"/>
  <c r="F26" i="2"/>
  <c r="F25" i="2"/>
  <c r="F24" i="2"/>
  <c r="F23" i="2"/>
  <c r="F22" i="2"/>
  <c r="F21" i="2"/>
  <c r="F20" i="2"/>
  <c r="F19" i="2"/>
  <c r="F18" i="2"/>
  <c r="F17" i="2"/>
  <c r="F16" i="2"/>
  <c r="F15" i="2"/>
  <c r="M22" i="2"/>
  <c r="M19" i="2"/>
  <c r="B7" i="2"/>
  <c r="B2" i="2"/>
  <c r="B6" i="2" s="1"/>
  <c r="O2" i="4" s="1"/>
  <c r="A2" i="4"/>
  <c r="AT158" i="5"/>
  <c r="AM166" i="5"/>
  <c r="AL166" i="5"/>
  <c r="AM164" i="5"/>
  <c r="AL164" i="5"/>
  <c r="AM162" i="5"/>
  <c r="AL162" i="5"/>
  <c r="AM160" i="5"/>
  <c r="AL160" i="5"/>
  <c r="P68" i="6"/>
  <c r="M68" i="6"/>
  <c r="E68" i="6"/>
  <c r="L66" i="6"/>
  <c r="E66" i="6"/>
  <c r="H65" i="6"/>
  <c r="AO68" i="6"/>
  <c r="AN68" i="6"/>
  <c r="AM68" i="6"/>
  <c r="AN66" i="6"/>
  <c r="AM66" i="6"/>
  <c r="AM65" i="6"/>
  <c r="AP126" i="5"/>
  <c r="AO126" i="5"/>
  <c r="AN126" i="5"/>
  <c r="AM126" i="5"/>
  <c r="AL126" i="5"/>
  <c r="AP124" i="5"/>
  <c r="AO124" i="5"/>
  <c r="AL124" i="5"/>
  <c r="S22" i="2"/>
  <c r="R22" i="2"/>
  <c r="Q22" i="2"/>
  <c r="O22" i="2"/>
  <c r="N22" i="2"/>
  <c r="S19" i="2"/>
  <c r="R19" i="2"/>
  <c r="Q19" i="2"/>
  <c r="O19" i="2"/>
  <c r="N19" i="2"/>
  <c r="F30" i="2" s="1"/>
  <c r="F34" i="2" l="1"/>
  <c r="F35" i="2" s="1"/>
  <c r="F36" i="2" s="1"/>
  <c r="B8" i="2"/>
  <c r="F3" i="4" s="1"/>
  <c r="AR153" i="5"/>
  <c r="AX21" i="5" s="1"/>
  <c r="AV36" i="6"/>
  <c r="AW14" i="5"/>
  <c r="AD10" i="5"/>
  <c r="F29" i="4"/>
  <c r="F7" i="4"/>
  <c r="F32" i="4"/>
  <c r="U172" i="5"/>
  <c r="F22" i="4"/>
  <c r="I174" i="5"/>
  <c r="AX18" i="5"/>
  <c r="F13" i="4"/>
  <c r="O168" i="5"/>
  <c r="U170" i="5"/>
  <c r="AM124" i="5"/>
  <c r="AS158" i="5" l="1"/>
  <c r="L221" i="5"/>
  <c r="AL221" i="5" s="1"/>
  <c r="AS156" i="5"/>
  <c r="AX24" i="5"/>
  <c r="AV10" i="5"/>
  <c r="AV13" i="5" s="1"/>
  <c r="AV15" i="5" s="1"/>
  <c r="AV17" i="5" s="1"/>
  <c r="AV22" i="5" s="1"/>
  <c r="AP174" i="5"/>
  <c r="AO174" i="5"/>
  <c r="AQ174" i="5" s="1"/>
  <c r="AN174" i="5"/>
  <c r="AR106" i="6" s="1"/>
  <c r="AM174" i="5"/>
  <c r="AL174" i="5"/>
  <c r="AF197" i="6"/>
  <c r="AS153" i="5" l="1"/>
  <c r="AX20" i="5" s="1"/>
  <c r="AJ154" i="5"/>
  <c r="AV26" i="5"/>
  <c r="AV30" i="5" s="1"/>
  <c r="AV32" i="5" s="1"/>
  <c r="AV47" i="5" s="1"/>
  <c r="AV55" i="5" s="1"/>
  <c r="AV56" i="5" s="1"/>
  <c r="AM170" i="6"/>
  <c r="AM168" i="6"/>
  <c r="AM166" i="6"/>
  <c r="AM164" i="6"/>
  <c r="AM162" i="6"/>
  <c r="AM160" i="6"/>
  <c r="AM158" i="6"/>
  <c r="AM156" i="6"/>
  <c r="AM154" i="6"/>
  <c r="AM152" i="6"/>
  <c r="AM150" i="6"/>
  <c r="AM148" i="6"/>
  <c r="AP162" i="6"/>
  <c r="AO162" i="6"/>
  <c r="AN162" i="6"/>
  <c r="AP160" i="6"/>
  <c r="AO160" i="6"/>
  <c r="AN160" i="6"/>
  <c r="AP158" i="6"/>
  <c r="AO158" i="6"/>
  <c r="AN158" i="6"/>
  <c r="AN27" i="6"/>
  <c r="AM27" i="6"/>
  <c r="N27" i="6"/>
  <c r="I27" i="6"/>
  <c r="F27" i="6"/>
  <c r="I24" i="6"/>
  <c r="N24" i="6"/>
  <c r="I25" i="6"/>
  <c r="N25" i="6"/>
  <c r="N14" i="6"/>
  <c r="J19" i="2" l="1"/>
  <c r="J20" i="2"/>
  <c r="AE206" i="5"/>
  <c r="AE205" i="5"/>
  <c r="D205" i="5"/>
  <c r="B204" i="5"/>
  <c r="AL61" i="5"/>
  <c r="L210" i="5"/>
  <c r="AL210" i="5" s="1"/>
  <c r="AS62" i="6"/>
  <c r="AS61" i="6"/>
  <c r="AQ120" i="5"/>
  <c r="AQ119" i="5"/>
  <c r="AM82" i="5"/>
  <c r="AL82" i="5"/>
  <c r="AL67" i="5"/>
  <c r="AL65" i="5"/>
  <c r="AL63" i="5"/>
  <c r="J21" i="5"/>
  <c r="AL17" i="5" s="1"/>
  <c r="AM15" i="5"/>
  <c r="AM14" i="5"/>
  <c r="AL14" i="5"/>
  <c r="AQ153" i="5"/>
  <c r="AQ152" i="5"/>
  <c r="AQ151" i="5"/>
  <c r="AQ150" i="5"/>
  <c r="AQ149" i="5"/>
  <c r="AQ148" i="5"/>
  <c r="K2" i="2"/>
  <c r="K3" i="2" s="1"/>
  <c r="K4" i="2" s="1"/>
  <c r="K5" i="2" s="1"/>
  <c r="K6" i="2" s="1"/>
  <c r="K7" i="2" s="1"/>
  <c r="K8" i="2" s="1"/>
  <c r="K9" i="2" s="1"/>
  <c r="K10" i="2" s="1"/>
  <c r="K11" i="2" s="1"/>
  <c r="K12" i="2" s="1"/>
  <c r="K13" i="2" s="1"/>
  <c r="K14" i="2" s="1"/>
  <c r="K15" i="2" s="1"/>
  <c r="K16" i="2" s="1"/>
  <c r="K17" i="2" s="1"/>
  <c r="K18" i="2" s="1"/>
  <c r="K19" i="2" s="1"/>
  <c r="K20" i="2" s="1"/>
  <c r="K21" i="2" s="1"/>
  <c r="K22" i="2" s="1"/>
  <c r="K23" i="2" s="1"/>
  <c r="AP170" i="6"/>
  <c r="AP168" i="6"/>
  <c r="AP166" i="6"/>
  <c r="AP164" i="6"/>
  <c r="AP156" i="6"/>
  <c r="AP154" i="6"/>
  <c r="AP152" i="6"/>
  <c r="AP150" i="6"/>
  <c r="AP148" i="6"/>
  <c r="L220" i="5" l="1"/>
  <c r="AL220" i="5" s="1"/>
  <c r="AQ156" i="5"/>
  <c r="AQ158" i="5"/>
  <c r="AP146" i="6"/>
  <c r="L204" i="6"/>
  <c r="AM204" i="6" s="1"/>
  <c r="AM16" i="5"/>
  <c r="I39" i="5" s="1"/>
  <c r="W17" i="5"/>
  <c r="AQ105" i="6"/>
  <c r="AO156" i="5"/>
  <c r="AF194" i="6"/>
  <c r="A193" i="6"/>
  <c r="AO170" i="6"/>
  <c r="AN170" i="6"/>
  <c r="AO168" i="6"/>
  <c r="AN168" i="6"/>
  <c r="AO166" i="6"/>
  <c r="AN166" i="6"/>
  <c r="AO164" i="6"/>
  <c r="AN164" i="6"/>
  <c r="AO156" i="6"/>
  <c r="AN156" i="6"/>
  <c r="AM146" i="6"/>
  <c r="L213" i="6" s="1"/>
  <c r="AO154" i="6"/>
  <c r="AN154" i="6"/>
  <c r="AO152" i="6"/>
  <c r="AN152" i="6"/>
  <c r="AO150" i="6"/>
  <c r="AN150" i="6"/>
  <c r="AO148" i="6"/>
  <c r="AN148" i="6"/>
  <c r="AP15" i="5" l="1"/>
  <c r="I26" i="5"/>
  <c r="AA17" i="5"/>
  <c r="N20" i="5"/>
  <c r="N17" i="5"/>
  <c r="N16" i="5"/>
  <c r="N21" i="5"/>
  <c r="AE14" i="5"/>
  <c r="AP14" i="5"/>
  <c r="N18" i="5"/>
  <c r="AE15" i="5"/>
  <c r="N19" i="5"/>
  <c r="AP107" i="6"/>
  <c r="AQ104" i="6"/>
  <c r="AM213" i="6"/>
  <c r="AM176" i="5"/>
  <c r="AP16" i="5" l="1"/>
  <c r="AM158" i="5"/>
  <c r="AN158" i="5" s="1"/>
  <c r="AL158" i="5"/>
  <c r="AL42" i="5"/>
  <c r="AL29" i="5"/>
  <c r="AP130" i="5" l="1"/>
  <c r="AP131" i="5"/>
  <c r="AP132" i="5"/>
  <c r="AP133" i="5"/>
  <c r="AP134" i="5"/>
  <c r="AP129" i="5"/>
  <c r="AE17" i="5"/>
  <c r="W20" i="5"/>
  <c r="AR105" i="6"/>
  <c r="AP105" i="6"/>
  <c r="AM180" i="5"/>
  <c r="AL180" i="5"/>
  <c r="AM178" i="5"/>
  <c r="AL178" i="5"/>
  <c r="AL176" i="5"/>
  <c r="AM156" i="5"/>
  <c r="AN156" i="5" s="1"/>
  <c r="AL156" i="5"/>
  <c r="AL36" i="5"/>
  <c r="AS115" i="6"/>
  <c r="AS110" i="6"/>
  <c r="AQ134" i="5"/>
  <c r="AQ129" i="5"/>
  <c r="G115" i="6"/>
  <c r="G114" i="6"/>
  <c r="G113" i="6"/>
  <c r="G112" i="6"/>
  <c r="G111" i="6"/>
  <c r="G110" i="6"/>
  <c r="G108" i="6"/>
  <c r="G107" i="6"/>
  <c r="G106" i="6"/>
  <c r="G105" i="6"/>
  <c r="G104" i="6"/>
  <c r="G103" i="6"/>
  <c r="K134" i="5"/>
  <c r="K133" i="5"/>
  <c r="K132" i="5"/>
  <c r="K131" i="5"/>
  <c r="K130" i="5"/>
  <c r="K129" i="5"/>
  <c r="J47" i="5"/>
  <c r="J46" i="5"/>
  <c r="J45" i="5"/>
  <c r="J44" i="5"/>
  <c r="J43" i="5"/>
  <c r="J42" i="5"/>
  <c r="J34" i="5"/>
  <c r="J33" i="5"/>
  <c r="J32" i="5"/>
  <c r="J31" i="5"/>
  <c r="J30" i="5"/>
  <c r="J29" i="5"/>
  <c r="C115" i="6"/>
  <c r="C114" i="6"/>
  <c r="B248" i="5"/>
  <c r="B237" i="6"/>
  <c r="AQ131" i="5"/>
  <c r="AQ132" i="5"/>
  <c r="AQ133" i="5"/>
  <c r="AQ130" i="5"/>
  <c r="AR110" i="6" l="1"/>
  <c r="AR112" i="6"/>
  <c r="AO103" i="6"/>
  <c r="AR115" i="6"/>
  <c r="AR113" i="6"/>
  <c r="AR111" i="6"/>
  <c r="AO104" i="6"/>
  <c r="AR114" i="6"/>
  <c r="AO130" i="5"/>
  <c r="AO131" i="5"/>
  <c r="AO132" i="5"/>
  <c r="AO133" i="5"/>
  <c r="AO134" i="5"/>
  <c r="AO129" i="5"/>
  <c r="AP128" i="5"/>
  <c r="L229" i="5" s="1"/>
  <c r="AL229" i="5" s="1"/>
  <c r="AR104" i="6"/>
  <c r="AP104" i="6"/>
  <c r="AN180" i="5"/>
  <c r="AQ128" i="5"/>
  <c r="L227" i="5" s="1"/>
  <c r="AL227" i="5" s="1"/>
  <c r="F33" i="5"/>
  <c r="F47" i="5"/>
  <c r="G133" i="5"/>
  <c r="C107" i="6"/>
  <c r="G134" i="5"/>
  <c r="C108" i="6"/>
  <c r="F46" i="5"/>
  <c r="AS112" i="6"/>
  <c r="AS113" i="6"/>
  <c r="AS114" i="6"/>
  <c r="AS111" i="6"/>
  <c r="AQ113" i="6" l="1"/>
  <c r="AQ115" i="6"/>
  <c r="AQ112" i="6"/>
  <c r="AQ111" i="6"/>
  <c r="AQ110" i="6"/>
  <c r="AQ114" i="6"/>
  <c r="AR109" i="6"/>
  <c r="L211" i="6" s="1"/>
  <c r="AP106" i="6"/>
  <c r="L202" i="6"/>
  <c r="AO128" i="5" l="1"/>
  <c r="L228" i="5" s="1"/>
  <c r="AL228" i="5" s="1"/>
  <c r="AN134" i="5"/>
  <c r="AN130" i="5"/>
  <c r="AN131" i="5"/>
  <c r="AN132" i="5"/>
  <c r="AN133" i="5"/>
  <c r="AN129" i="5"/>
  <c r="AL128" i="5" l="1"/>
  <c r="AQ109" i="6"/>
  <c r="L210" i="6" l="1"/>
  <c r="AM210" i="6" s="1"/>
  <c r="AM211" i="6"/>
  <c r="L218" i="5"/>
  <c r="AL47" i="5"/>
  <c r="AL46" i="5"/>
  <c r="AL45" i="5"/>
  <c r="AL44" i="5"/>
  <c r="AL43" i="5"/>
  <c r="AL34" i="5"/>
  <c r="AL33" i="5"/>
  <c r="AL32" i="5"/>
  <c r="AL31" i="5"/>
  <c r="AL30" i="5"/>
  <c r="W21" i="5"/>
  <c r="J18" i="2"/>
  <c r="F30" i="5" l="1"/>
  <c r="C111" i="6"/>
  <c r="F43" i="5"/>
  <c r="C104" i="6"/>
  <c r="G130" i="5"/>
  <c r="C112" i="6"/>
  <c r="F44" i="5"/>
  <c r="F31" i="5"/>
  <c r="C105" i="6"/>
  <c r="G131" i="5"/>
  <c r="F32" i="5"/>
  <c r="F45" i="5"/>
  <c r="C113" i="6"/>
  <c r="C106" i="6"/>
  <c r="G132" i="5"/>
  <c r="F29" i="5"/>
  <c r="C110" i="6"/>
  <c r="F42" i="5"/>
  <c r="C103" i="6"/>
  <c r="G129" i="5"/>
  <c r="AQ102" i="6"/>
  <c r="J7" i="2"/>
  <c r="AM137" i="5"/>
  <c r="AM6" i="6"/>
  <c r="AL41" i="5"/>
  <c r="AL28" i="5"/>
  <c r="AM129" i="5" l="1"/>
  <c r="AM131" i="5"/>
  <c r="AM130" i="5"/>
  <c r="AM134" i="5"/>
  <c r="AM132" i="5"/>
  <c r="AM133" i="5"/>
  <c r="AP111" i="6"/>
  <c r="AP113" i="6"/>
  <c r="AP112" i="6"/>
  <c r="AP114" i="6"/>
  <c r="AP110" i="6"/>
  <c r="AP115" i="6"/>
  <c r="AM206" i="6"/>
  <c r="AM200" i="6"/>
  <c r="AL213" i="5"/>
  <c r="AO111" i="5" l="1"/>
  <c r="AN111" i="5"/>
  <c r="AE153" i="5"/>
  <c r="AE152" i="5"/>
  <c r="D152" i="5"/>
  <c r="AX28" i="6"/>
  <c r="G15" i="2"/>
  <c r="AM135" i="6"/>
  <c r="AA20" i="5" l="1"/>
  <c r="W19" i="5"/>
  <c r="D186" i="5"/>
  <c r="AA10" i="6"/>
  <c r="AM73" i="6"/>
  <c r="AM202" i="6"/>
  <c r="AM201" i="6"/>
  <c r="AL218" i="5"/>
  <c r="AL217" i="5"/>
  <c r="AL95" i="5"/>
  <c r="B141" i="6" l="1"/>
  <c r="B97" i="6"/>
  <c r="B52" i="6"/>
  <c r="B151" i="5"/>
  <c r="B106" i="5"/>
  <c r="B54" i="5"/>
  <c r="O58" i="6" l="1"/>
  <c r="O57" i="6"/>
  <c r="J58" i="6"/>
  <c r="J57" i="6"/>
  <c r="O49" i="6"/>
  <c r="O48" i="6"/>
  <c r="O47" i="6"/>
  <c r="F49" i="6"/>
  <c r="F48" i="6"/>
  <c r="F47" i="6"/>
  <c r="O44" i="6"/>
  <c r="O41" i="6"/>
  <c r="F44" i="6"/>
  <c r="F43" i="6"/>
  <c r="F42" i="6"/>
  <c r="F41" i="6"/>
  <c r="O43" i="6"/>
  <c r="Q40" i="6"/>
  <c r="N40" i="6"/>
  <c r="I39" i="6"/>
  <c r="O37" i="6"/>
  <c r="O36" i="6"/>
  <c r="F36" i="6"/>
  <c r="I35" i="6"/>
  <c r="N15" i="6"/>
  <c r="Q17" i="6"/>
  <c r="N17" i="6"/>
  <c r="AM49" i="6"/>
  <c r="AM48" i="6"/>
  <c r="AM43" i="6"/>
  <c r="AM42" i="6"/>
  <c r="AM40" i="6"/>
  <c r="AM41" i="6"/>
  <c r="AM39" i="6"/>
  <c r="AM36" i="6"/>
  <c r="AM30" i="6"/>
  <c r="AM17" i="6"/>
  <c r="AM98" i="5"/>
  <c r="AL98" i="5"/>
  <c r="AM93" i="5"/>
  <c r="AL93" i="5"/>
  <c r="AL88" i="5"/>
  <c r="AL84" i="5"/>
  <c r="AM55" i="5" l="1"/>
  <c r="AM29" i="6"/>
  <c r="AN18" i="6"/>
  <c r="AM18" i="6"/>
  <c r="AM35" i="6"/>
  <c r="F30" i="6"/>
  <c r="I29" i="6"/>
  <c r="N22" i="6"/>
  <c r="N23" i="6"/>
  <c r="N21" i="6"/>
  <c r="I22" i="6"/>
  <c r="I23" i="6"/>
  <c r="I21" i="6"/>
  <c r="N18" i="6"/>
  <c r="I18" i="6"/>
  <c r="F18" i="6"/>
  <c r="AM88" i="5" l="1"/>
  <c r="AM84" i="5"/>
  <c r="AM73" i="5"/>
  <c r="AL73" i="5"/>
  <c r="AL69" i="5"/>
  <c r="AL59" i="5"/>
  <c r="L214" i="5" s="1"/>
  <c r="AL214" i="5" s="1"/>
  <c r="P24" i="5" l="1"/>
  <c r="L24" i="5"/>
  <c r="BL1" i="6" l="1"/>
  <c r="AG142" i="6" l="1"/>
  <c r="AG98" i="6"/>
  <c r="AH108" i="6" l="1"/>
  <c r="AH107" i="6"/>
  <c r="AH106" i="6"/>
  <c r="AH105" i="6"/>
  <c r="AH104" i="6"/>
  <c r="AN104" i="6" s="1"/>
  <c r="AH103" i="6"/>
  <c r="AN103" i="6" s="1"/>
  <c r="AC108" i="6"/>
  <c r="AC107" i="6"/>
  <c r="AC106" i="6"/>
  <c r="AC105" i="6"/>
  <c r="AC104" i="6"/>
  <c r="AC103" i="6"/>
  <c r="AG53" i="6"/>
  <c r="X108" i="6"/>
  <c r="X107" i="6"/>
  <c r="X106" i="6"/>
  <c r="X105" i="6"/>
  <c r="X104" i="6"/>
  <c r="X103" i="6"/>
  <c r="S108" i="6"/>
  <c r="S107" i="6"/>
  <c r="S106" i="6"/>
  <c r="S105" i="6"/>
  <c r="S104" i="6"/>
  <c r="S103" i="6"/>
  <c r="N108" i="6"/>
  <c r="AN115" i="6" s="1"/>
  <c r="N107" i="6"/>
  <c r="AN114" i="6" s="1"/>
  <c r="N106" i="6"/>
  <c r="AN113" i="6" s="1"/>
  <c r="N105" i="6"/>
  <c r="AN112" i="6" s="1"/>
  <c r="N104" i="6"/>
  <c r="AN111" i="6" s="1"/>
  <c r="N103" i="6"/>
  <c r="AN110" i="6" s="1"/>
  <c r="M81" i="6"/>
  <c r="M82" i="6"/>
  <c r="M83" i="6"/>
  <c r="M84" i="6"/>
  <c r="M85" i="6"/>
  <c r="M86" i="6"/>
  <c r="G81" i="6"/>
  <c r="G82" i="6"/>
  <c r="G83" i="6"/>
  <c r="G84" i="6"/>
  <c r="G85" i="6"/>
  <c r="G86" i="6"/>
  <c r="B81" i="6"/>
  <c r="B82" i="6"/>
  <c r="B83" i="6"/>
  <c r="B84" i="6"/>
  <c r="B85" i="6"/>
  <c r="B86" i="6"/>
  <c r="M80" i="6"/>
  <c r="G80" i="6"/>
  <c r="B80" i="6"/>
  <c r="M74" i="6"/>
  <c r="M75" i="6"/>
  <c r="M76" i="6"/>
  <c r="M77" i="6"/>
  <c r="M78" i="6"/>
  <c r="M79" i="6"/>
  <c r="M73" i="6"/>
  <c r="G79" i="6"/>
  <c r="G78" i="6"/>
  <c r="G77" i="6"/>
  <c r="G76" i="6"/>
  <c r="G75" i="6"/>
  <c r="G74" i="6"/>
  <c r="G73" i="6"/>
  <c r="B79" i="6"/>
  <c r="B78" i="6"/>
  <c r="B77" i="6"/>
  <c r="B76" i="6"/>
  <c r="B75" i="6"/>
  <c r="B74" i="6"/>
  <c r="B73" i="6"/>
  <c r="AN107" i="6" l="1"/>
  <c r="AO107" i="6"/>
  <c r="AN108" i="6"/>
  <c r="AO108" i="6"/>
  <c r="AN106" i="6"/>
  <c r="AO106" i="6"/>
  <c r="AN105" i="6"/>
  <c r="AO105" i="6"/>
  <c r="AM134" i="6"/>
  <c r="AP86" i="6"/>
  <c r="AP85" i="6"/>
  <c r="AP84" i="6"/>
  <c r="AP83" i="6"/>
  <c r="AP82" i="6"/>
  <c r="AP81" i="6"/>
  <c r="AP80" i="6"/>
  <c r="AP79" i="6"/>
  <c r="AP78" i="6"/>
  <c r="AP77" i="6"/>
  <c r="AP76" i="6"/>
  <c r="AP75" i="6"/>
  <c r="AP74" i="6"/>
  <c r="AP73" i="6"/>
  <c r="AN73" i="6"/>
  <c r="AN62" i="6"/>
  <c r="I62" i="6"/>
  <c r="AN61" i="6"/>
  <c r="I61" i="6"/>
  <c r="AF8" i="6"/>
  <c r="AF195" i="6" s="1"/>
  <c r="E8" i="6"/>
  <c r="E7" i="6"/>
  <c r="C194" i="6" s="1"/>
  <c r="AP61" i="6" l="1"/>
  <c r="L203" i="6" s="1"/>
  <c r="AG143" i="6"/>
  <c r="D53" i="6"/>
  <c r="D142" i="6"/>
  <c r="AG99" i="6"/>
  <c r="AO109" i="6"/>
  <c r="AS109" i="6"/>
  <c r="L209" i="6" s="1"/>
  <c r="AP109" i="6"/>
  <c r="AG54" i="6"/>
  <c r="D98" i="6"/>
  <c r="AM209" i="6" l="1"/>
  <c r="L208" i="6"/>
  <c r="AM208" i="6" s="1"/>
  <c r="AN109" i="6"/>
  <c r="F34" i="5"/>
  <c r="AO120" i="5" l="1"/>
  <c r="AM121" i="5"/>
  <c r="AM47" i="5"/>
  <c r="AM46" i="5"/>
  <c r="AM45" i="5"/>
  <c r="AM44" i="5"/>
  <c r="AM43" i="5"/>
  <c r="AM42" i="5"/>
  <c r="AM30" i="5"/>
  <c r="AM31" i="5"/>
  <c r="AM32" i="5"/>
  <c r="AM33" i="5"/>
  <c r="AM34" i="5"/>
  <c r="AM29" i="5"/>
  <c r="AM120" i="5" l="1"/>
  <c r="I103" i="6"/>
  <c r="AB37" i="5"/>
  <c r="X37" i="5"/>
  <c r="T37" i="5"/>
  <c r="P37" i="5"/>
  <c r="L37" i="5"/>
  <c r="AB24" i="5"/>
  <c r="X24" i="5"/>
  <c r="T24" i="5"/>
  <c r="AL112" i="5"/>
  <c r="AM112" i="5"/>
  <c r="AL113" i="5"/>
  <c r="AM113" i="5"/>
  <c r="AL114" i="5"/>
  <c r="AM114" i="5"/>
  <c r="AL115" i="5"/>
  <c r="AM115" i="5"/>
  <c r="AL116" i="5"/>
  <c r="AM116" i="5"/>
  <c r="AL117" i="5"/>
  <c r="AM117" i="5"/>
  <c r="AM111" i="5"/>
  <c r="AL111" i="5"/>
  <c r="AE108" i="5"/>
  <c r="AE107" i="5"/>
  <c r="D107" i="5"/>
  <c r="AE56" i="5"/>
  <c r="AE55" i="5"/>
  <c r="D55" i="5"/>
  <c r="J89" i="6"/>
  <c r="BL1" i="5"/>
  <c r="AM110" i="6" l="1"/>
  <c r="AM103" i="6"/>
  <c r="AN89" i="6"/>
  <c r="AO89" i="6"/>
  <c r="L205" i="6" s="1"/>
  <c r="L219" i="5"/>
  <c r="AL219" i="5" s="1"/>
  <c r="I108" i="6"/>
  <c r="I107" i="6"/>
  <c r="I106" i="6"/>
  <c r="I105" i="6"/>
  <c r="I104" i="6"/>
  <c r="AM28" i="5"/>
  <c r="L211" i="5" s="1"/>
  <c r="AM128" i="5"/>
  <c r="L225" i="5" s="1"/>
  <c r="AM41" i="5"/>
  <c r="L212" i="5" s="1"/>
  <c r="AM112" i="6" l="1"/>
  <c r="AM105" i="6"/>
  <c r="AM114" i="6"/>
  <c r="AM107" i="6"/>
  <c r="AM111" i="6"/>
  <c r="AM104" i="6"/>
  <c r="AM113" i="6"/>
  <c r="AM106" i="6"/>
  <c r="AM115" i="6"/>
  <c r="AM108" i="6"/>
  <c r="AM205" i="6"/>
  <c r="AL212" i="5"/>
  <c r="AL211" i="5"/>
  <c r="AL225" i="5"/>
  <c r="H118" i="5"/>
  <c r="AM118" i="5" l="1"/>
  <c r="AM119" i="5"/>
  <c r="AN128" i="5"/>
  <c r="L226" i="5" s="1"/>
  <c r="AL226" i="5" s="1"/>
  <c r="L223" i="5" l="1"/>
  <c r="AM109" i="6"/>
  <c r="AM203" i="6"/>
  <c r="AL223" i="5" l="1"/>
  <c r="AL209" i="5" s="1"/>
  <c r="L207" i="6"/>
  <c r="AM207" i="6" s="1"/>
  <c r="AM198" i="6" s="1"/>
  <c r="A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0EBFAF25-7997-4135-ABA4-18FC06F510CD}">
      <text>
        <r>
          <rPr>
            <b/>
            <sz val="9"/>
            <color indexed="81"/>
            <rFont val="Tahoma"/>
            <family val="2"/>
          </rPr>
          <t xml:space="preserve">Note:  </t>
        </r>
        <r>
          <rPr>
            <sz val="9"/>
            <color indexed="81"/>
            <rFont val="Tahoma"/>
            <family val="2"/>
          </rPr>
          <t xml:space="preserve">Enter the parcel number with no spaces as shown below: 1234567891234.560
</t>
        </r>
      </text>
    </comment>
    <comment ref="AA15" authorId="1" shapeId="0" xr:uid="{0B639A35-4281-455D-977F-2AFF1A6BCC93}">
      <text>
        <r>
          <rPr>
            <b/>
            <sz val="9"/>
            <color indexed="81"/>
            <rFont val="Tahoma"/>
            <family val="2"/>
          </rPr>
          <t>Note:</t>
        </r>
        <r>
          <rPr>
            <sz val="9"/>
            <color indexed="81"/>
            <rFont val="Tahoma"/>
            <family val="2"/>
          </rPr>
          <t xml:space="preserve">
If there is no EIA, enter 0</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<sst xmlns="http://schemas.openxmlformats.org/spreadsheetml/2006/main" count="1215" uniqueCount="550">
  <si>
    <t>Development Information</t>
  </si>
  <si>
    <t>Name:</t>
  </si>
  <si>
    <t>Proposed Impervious Area (PIA)</t>
  </si>
  <si>
    <t>Pre-Development</t>
  </si>
  <si>
    <t>Curve Number:</t>
  </si>
  <si>
    <t>(WQ)</t>
  </si>
  <si>
    <t>(2-yr)</t>
  </si>
  <si>
    <t>(5-yr)</t>
  </si>
  <si>
    <t>(10-yr)</t>
  </si>
  <si>
    <t>(25-yr)</t>
  </si>
  <si>
    <t>(100-yr)</t>
  </si>
  <si>
    <t>Post-Development</t>
  </si>
  <si>
    <t>Post Total</t>
  </si>
  <si>
    <t>Pre Total</t>
  </si>
  <si>
    <t>Outfall Location</t>
  </si>
  <si>
    <t>Pond Stage-Area-Storage Summary</t>
  </si>
  <si>
    <t>Elevation</t>
  </si>
  <si>
    <t>Area</t>
  </si>
  <si>
    <t>Professional Engineer Certification</t>
  </si>
  <si>
    <t>Address:</t>
  </si>
  <si>
    <t>Date:</t>
  </si>
  <si>
    <t>Comments:</t>
  </si>
  <si>
    <t>Material</t>
  </si>
  <si>
    <t>Concrete</t>
  </si>
  <si>
    <t>Metal</t>
  </si>
  <si>
    <t>HDPP</t>
  </si>
  <si>
    <t>PVC</t>
  </si>
  <si>
    <t>HDPE</t>
  </si>
  <si>
    <t>Other</t>
  </si>
  <si>
    <t>Select</t>
  </si>
  <si>
    <t>Shape</t>
  </si>
  <si>
    <t>BMP ID:</t>
  </si>
  <si>
    <t>acres</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</si>
  <si>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</si>
  <si>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</si>
  <si>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</si>
  <si>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r>
      <t>ft</t>
    </r>
    <r>
      <rPr>
        <vertAlign val="superscript"/>
        <sz val="10"/>
        <color theme="1"/>
        <rFont val="Calibri"/>
        <family val="2"/>
      </rPr>
      <t>2</t>
    </r>
  </si>
  <si>
    <t>Inv. EL</t>
  </si>
  <si>
    <t>in</t>
  </si>
  <si>
    <t>ft</t>
  </si>
  <si>
    <t>Latitude:</t>
  </si>
  <si>
    <t>Longitude:</t>
  </si>
  <si>
    <t>Basin ID:</t>
  </si>
  <si>
    <t>Cumulative Vol.</t>
  </si>
  <si>
    <r>
      <t>WQ</t>
    </r>
    <r>
      <rPr>
        <vertAlign val="subscript"/>
        <sz val="15"/>
        <color theme="1"/>
        <rFont val="Calibri"/>
        <family val="2"/>
      </rPr>
      <t>v</t>
    </r>
    <r>
      <rPr>
        <sz val="10"/>
        <color theme="1"/>
        <rFont val="Calibri"/>
        <family val="2"/>
        <scheme val="minor"/>
      </rPr>
      <t xml:space="preserve"> Required:</t>
    </r>
  </si>
  <si>
    <r>
      <t>WQ</t>
    </r>
    <r>
      <rPr>
        <vertAlign val="subscript"/>
        <sz val="15"/>
        <color theme="1"/>
        <rFont val="Calibri"/>
        <family val="2"/>
      </rPr>
      <t>v</t>
    </r>
    <r>
      <rPr>
        <sz val="10"/>
        <color theme="1"/>
        <rFont val="Calibri"/>
        <family val="2"/>
        <scheme val="minor"/>
      </rPr>
      <t xml:space="preserve"> Provided:</t>
    </r>
  </si>
  <si>
    <t>Time of Concentration (min):</t>
  </si>
  <si>
    <t>Additional Impervious Area (AIA) = PIA - EIA</t>
  </si>
  <si>
    <t>AIA =</t>
  </si>
  <si>
    <t>Design</t>
  </si>
  <si>
    <t>As-Built</t>
  </si>
  <si>
    <t>Water Quality Volume (WQv)</t>
  </si>
  <si>
    <t>WQv Required:</t>
  </si>
  <si>
    <t>WQv Provided:</t>
  </si>
  <si>
    <r>
      <t>Pre Q
(ft</t>
    </r>
    <r>
      <rPr>
        <vertAlign val="superscript"/>
        <sz val="8"/>
        <color theme="1"/>
        <rFont val="Calibri"/>
        <family val="2"/>
      </rPr>
      <t>3</t>
    </r>
    <r>
      <rPr>
        <sz val="10"/>
        <color theme="1"/>
        <rFont val="Calibri"/>
        <family val="2"/>
        <scheme val="minor"/>
      </rPr>
      <t>/s)</t>
    </r>
  </si>
  <si>
    <r>
      <t>Total Post 
Q (ft</t>
    </r>
    <r>
      <rPr>
        <vertAlign val="superscript"/>
        <sz val="8"/>
        <color theme="1"/>
        <rFont val="Calibri"/>
        <family val="2"/>
      </rPr>
      <t>3</t>
    </r>
    <r>
      <rPr>
        <sz val="10"/>
        <color theme="1"/>
        <rFont val="Calibri"/>
        <family val="2"/>
        <scheme val="minor"/>
      </rPr>
      <t>/s)</t>
    </r>
  </si>
  <si>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</si>
  <si>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</si>
  <si>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</si>
  <si>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</si>
  <si>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</si>
  <si>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</si>
  <si>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Use the drop down list to select a shape.</t>
  </si>
  <si>
    <t>Riprap</t>
  </si>
  <si>
    <t>Earthen</t>
  </si>
  <si>
    <t>Geotextile</t>
  </si>
  <si>
    <t>Total Post Q &gt; Pre Q</t>
  </si>
  <si>
    <t>Max Stage</t>
  </si>
  <si>
    <t>Total Post</t>
  </si>
  <si>
    <t>Post Total not completed</t>
  </si>
  <si>
    <t>Design Response</t>
  </si>
  <si>
    <t>Emergency Spillway Section not completed</t>
  </si>
  <si>
    <t>Pre Total not compeleted</t>
  </si>
  <si>
    <t>Automated Review Checks</t>
  </si>
  <si>
    <t>Form Section</t>
  </si>
  <si>
    <t>Pre-Development:</t>
  </si>
  <si>
    <t>Post-Development:</t>
  </si>
  <si>
    <t>Total Post Q:</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</si>
  <si>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</si>
  <si>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</si>
  <si>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</si>
  <si>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</si>
  <si>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</si>
  <si>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</si>
  <si>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H&amp;H Calculations</t>
  </si>
  <si>
    <t>Photographs</t>
  </si>
  <si>
    <t>Storm sewers showing pipes, inlets, junction boxes, outlets, outlet protection, and invert elevations</t>
  </si>
  <si>
    <t>Detail of emergency spillway showing elevations and dimensions</t>
  </si>
  <si>
    <t>Outlet pipe discharge location and outlet protection</t>
  </si>
  <si>
    <t>Prior to approval of the Final Plat.</t>
  </si>
  <si>
    <t>Provide ALL required attachments:</t>
  </si>
  <si>
    <t>As-Built Survey Drawing(s)</t>
  </si>
  <si>
    <t>As-built survey, at a minimum, shall include the following:</t>
  </si>
  <si>
    <t>The issuance of a Certificate of Occupancy; and/or,</t>
  </si>
  <si>
    <t>e.</t>
  </si>
  <si>
    <t>c.</t>
  </si>
  <si>
    <t>d.</t>
  </si>
  <si>
    <t>f.</t>
  </si>
  <si>
    <t>•</t>
  </si>
  <si>
    <t>Outfall Location:</t>
  </si>
  <si>
    <t>Latitude and/or Longitude not provided</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</si>
  <si>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</si>
  <si>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</si>
  <si>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</si>
  <si>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</si>
  <si>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</si>
  <si>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</si>
  <si>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</si>
  <si>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Photos</t>
  </si>
  <si>
    <t xml:space="preserve"> Yes</t>
  </si>
  <si>
    <t xml:space="preserve"> No</t>
  </si>
  <si>
    <r>
      <t>Pre Q
(ft</t>
    </r>
    <r>
      <rPr>
        <vertAlign val="superscript"/>
        <sz val="9"/>
        <color theme="1"/>
        <rFont val="Calibri"/>
        <family val="2"/>
      </rPr>
      <t>3</t>
    </r>
    <r>
      <rPr>
        <sz val="9"/>
        <color theme="1"/>
        <rFont val="Calibri"/>
        <family val="2"/>
        <scheme val="minor"/>
      </rPr>
      <t>/s)</t>
    </r>
  </si>
  <si>
    <r>
      <t>Total Post 
Q (ft</t>
    </r>
    <r>
      <rPr>
        <vertAlign val="superscript"/>
        <sz val="9"/>
        <color theme="1"/>
        <rFont val="Calibri"/>
        <family val="2"/>
      </rPr>
      <t>3</t>
    </r>
    <r>
      <rPr>
        <sz val="9"/>
        <color theme="1"/>
        <rFont val="Calibri"/>
        <family val="2"/>
        <scheme val="minor"/>
      </rPr>
      <t>/s)</t>
    </r>
  </si>
  <si>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</si>
  <si>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</si>
  <si>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</si>
  <si>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</si>
  <si>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</si>
  <si>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</si>
  <si>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</si>
  <si>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</si>
  <si>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</si>
  <si>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</si>
  <si>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</si>
  <si>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</si>
  <si>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</si>
  <si>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</si>
  <si>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</si>
  <si>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</si>
  <si>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</si>
  <si>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</si>
  <si>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</si>
  <si>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</si>
  <si>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</si>
  <si>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Pre Q</t>
  </si>
  <si>
    <t>Pond In Q</t>
  </si>
  <si>
    <t>Pre Q:</t>
  </si>
  <si>
    <t>Montgomery</t>
  </si>
  <si>
    <t>Hoover</t>
  </si>
  <si>
    <t>Prattville</t>
  </si>
  <si>
    <t>Mobile</t>
  </si>
  <si>
    <t xml:space="preserve">Select City: </t>
  </si>
  <si>
    <t xml:space="preserve">Trash Rack: </t>
  </si>
  <si>
    <t>Yes</t>
  </si>
  <si>
    <t xml:space="preserve">Width: </t>
  </si>
  <si>
    <t xml:space="preserve">Diameter: </t>
  </si>
  <si>
    <t xml:space="preserve">Material: </t>
  </si>
  <si>
    <t xml:space="preserve">Shape: </t>
  </si>
  <si>
    <t xml:space="preserve">Length: </t>
  </si>
  <si>
    <t>Round</t>
  </si>
  <si>
    <t>Rectangle</t>
  </si>
  <si>
    <t>Trapezoid</t>
  </si>
  <si>
    <t>Square</t>
  </si>
  <si>
    <t xml:space="preserve">Date: </t>
  </si>
  <si>
    <t xml:space="preserve">Company: </t>
  </si>
  <si>
    <t xml:space="preserve">Signature: </t>
  </si>
  <si>
    <t xml:space="preserve">Select: </t>
  </si>
  <si>
    <t xml:space="preserve">Orifice: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</si>
  <si>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</si>
  <si>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</si>
  <si>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</si>
  <si>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</si>
  <si>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</si>
  <si>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</si>
  <si>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</si>
  <si>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</si>
  <si>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</si>
  <si>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</si>
  <si>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 xml:space="preserve"> Soils Data</t>
  </si>
  <si>
    <t xml:space="preserve"> Maintenance Plan</t>
  </si>
  <si>
    <t xml:space="preserve">Hydrologic Soil Group: </t>
  </si>
  <si>
    <t xml:space="preserve"> A</t>
  </si>
  <si>
    <t xml:space="preserve"> B</t>
  </si>
  <si>
    <t xml:space="preserve"> C</t>
  </si>
  <si>
    <t xml:space="preserve"> D</t>
  </si>
  <si>
    <t xml:space="preserve">Water Table Depth: </t>
  </si>
  <si>
    <t>in/hr</t>
  </si>
  <si>
    <t xml:space="preserve">Type: </t>
  </si>
  <si>
    <t xml:space="preserve">Pretreatment: </t>
  </si>
  <si>
    <t>Depth</t>
  </si>
  <si>
    <t>Bottom EL</t>
  </si>
  <si>
    <t>ea</t>
  </si>
  <si>
    <t>Diameter</t>
  </si>
  <si>
    <t xml:space="preserve"> Underdrain Pipe(s)</t>
  </si>
  <si>
    <t xml:space="preserve">Outlet Pipe Inv. EL: </t>
  </si>
  <si>
    <t xml:space="preserve">Perforated Pipe Inv. EL: </t>
  </si>
  <si>
    <t xml:space="preserve"> System Cross Section</t>
  </si>
  <si>
    <t xml:space="preserve"> No Underdrain System</t>
  </si>
  <si>
    <t>Discharge Summary</t>
  </si>
  <si>
    <t xml:space="preserve">Inv. EL: </t>
  </si>
  <si>
    <t>Discharge Summary:</t>
  </si>
  <si>
    <r>
      <t>In Q
(ft</t>
    </r>
    <r>
      <rPr>
        <vertAlign val="superscript"/>
        <sz val="9"/>
        <color theme="1"/>
        <rFont val="Calibri"/>
        <family val="2"/>
      </rPr>
      <t>3</t>
    </r>
    <r>
      <rPr>
        <sz val="9"/>
        <color theme="1"/>
        <rFont val="Calibri"/>
        <family val="2"/>
        <scheme val="minor"/>
      </rPr>
      <t>/s)</t>
    </r>
  </si>
  <si>
    <r>
      <t>Out Q 
(ft</t>
    </r>
    <r>
      <rPr>
        <vertAlign val="superscript"/>
        <sz val="9"/>
        <color theme="1"/>
        <rFont val="Calibri"/>
        <family val="2"/>
      </rPr>
      <t>3</t>
    </r>
    <r>
      <rPr>
        <sz val="9"/>
        <color theme="1"/>
        <rFont val="Calibri"/>
        <family val="2"/>
        <scheme val="minor"/>
      </rPr>
      <t>/s)</t>
    </r>
  </si>
  <si>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</si>
  <si>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</si>
  <si>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</si>
  <si>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 xml:space="preserve">Drainage Area: </t>
  </si>
  <si>
    <t xml:space="preserve">Land Slope: </t>
  </si>
  <si>
    <t>%</t>
  </si>
  <si>
    <t>Overflow Structure</t>
  </si>
  <si>
    <t>Outlet Pipe</t>
  </si>
  <si>
    <t>Internal Water Storage</t>
  </si>
  <si>
    <t xml:space="preserve">Depth: </t>
  </si>
  <si>
    <t xml:space="preserve">Drain Time: </t>
  </si>
  <si>
    <t>hrs</t>
  </si>
  <si>
    <t>Ponded Water</t>
  </si>
  <si>
    <t xml:space="preserve">Surface Area: </t>
  </si>
  <si>
    <r>
      <t>ft</t>
    </r>
    <r>
      <rPr>
        <vertAlign val="superscript"/>
        <sz val="10"/>
        <color theme="1"/>
        <rFont val="Calibri"/>
        <family val="2"/>
        <scheme val="minor"/>
      </rPr>
      <t>2</t>
    </r>
  </si>
  <si>
    <t>Stage-Area-Storage Summary</t>
  </si>
  <si>
    <t>The maintenance plan shall address the following:</t>
  </si>
  <si>
    <t xml:space="preserve"> Field Test Performed: </t>
  </si>
  <si>
    <t xml:space="preserve">Bottom EL: </t>
  </si>
  <si>
    <t xml:space="preserve">Top EL: </t>
  </si>
  <si>
    <t>Drain Time</t>
  </si>
  <si>
    <t xml:space="preserve">Int. Water Storage: </t>
  </si>
  <si>
    <t xml:space="preserve">Ponded Water: </t>
  </si>
  <si>
    <t xml:space="preserve"> No Overflow Structure</t>
  </si>
  <si>
    <t>Revision Date:</t>
  </si>
  <si>
    <t xml:space="preserve">Discharge Summary: </t>
  </si>
  <si>
    <t>Drain time exceeds the recommended 12 hours</t>
  </si>
  <si>
    <t>Land Slope:</t>
  </si>
  <si>
    <t>Internal Water Storage:</t>
  </si>
  <si>
    <t>Ponded Water:</t>
  </si>
  <si>
    <t>Drainage area exceeds the recommended 5.0 acre maximum</t>
  </si>
  <si>
    <t>Jefferson</t>
  </si>
  <si>
    <t>Velocity
(ft/s)</t>
  </si>
  <si>
    <t>Velocity:</t>
  </si>
  <si>
    <t>Effective Date:</t>
  </si>
  <si>
    <t>1 February 2020</t>
  </si>
  <si>
    <t>1 October 2020</t>
  </si>
  <si>
    <t>1 October 2015</t>
  </si>
  <si>
    <t>1 July 2018</t>
  </si>
  <si>
    <t>Type:</t>
  </si>
  <si>
    <t>City</t>
  </si>
  <si>
    <t>County</t>
  </si>
  <si>
    <t>Maintenance Agreement:</t>
  </si>
  <si>
    <t xml:space="preserve"> Covenant</t>
  </si>
  <si>
    <t>Entity Type:</t>
  </si>
  <si>
    <t>Velocity</t>
  </si>
  <si>
    <t>Provides the required water quality volume (WQv);</t>
  </si>
  <si>
    <t xml:space="preserve">Post-development runoff mimics pre-development hydrology to the maximum extent practicable (MEP). </t>
  </si>
  <si>
    <t>Printing the form may require some adjustments to the print settings for the printer being used.</t>
  </si>
  <si>
    <t>Home Owners Association (HOA) Information</t>
  </si>
  <si>
    <t>Site features to include but not limited to roads, rights-of-way, property lines, driveways, buildings, parking</t>
  </si>
  <si>
    <t>areas, fences, retaining walls, dumpster pads, etc.</t>
  </si>
  <si>
    <t>Current Logo</t>
  </si>
  <si>
    <t>This is a required field.  Once a number or text is entered, the green highlight will be removed.</t>
  </si>
  <si>
    <t>Elevation:</t>
  </si>
  <si>
    <t>Max Elev.
(ft)</t>
  </si>
  <si>
    <t xml:space="preserve">City: </t>
  </si>
  <si>
    <t>Comments?</t>
  </si>
  <si>
    <t>Permit Type:</t>
  </si>
  <si>
    <t>Engineering or Building No.</t>
  </si>
  <si>
    <t>Max Velocity:</t>
  </si>
  <si>
    <t>Max Velocity</t>
  </si>
  <si>
    <t>Lookup Table</t>
  </si>
  <si>
    <t>Complete Design Form with the required design information.  Once the Design Form is completed, most of the Design section of the As-built Form will be prepopulated.</t>
  </si>
  <si>
    <t>Use the drop down list to select an orifice or weir.</t>
  </si>
  <si>
    <t xml:space="preserve">Weir: </t>
  </si>
  <si>
    <t xml:space="preserve">Insp Report Due: </t>
  </si>
  <si>
    <t>30 Septbember</t>
  </si>
  <si>
    <t>1 September</t>
  </si>
  <si>
    <t>Insp Report Due:</t>
  </si>
  <si>
    <t xml:space="preserve">Seal: </t>
  </si>
  <si>
    <t>ENG No.</t>
  </si>
  <si>
    <t>Arch</t>
  </si>
  <si>
    <t>Elliptical</t>
  </si>
  <si>
    <t>V-notch</t>
  </si>
  <si>
    <t>(50-yr)</t>
  </si>
  <si>
    <t>Storms:</t>
  </si>
  <si>
    <t>2, 5, 10, 25, 50, and 100</t>
  </si>
  <si>
    <r>
      <t>Total Post Q is &lt; -0.50 ft</t>
    </r>
    <r>
      <rPr>
        <vertAlign val="superscript"/>
        <sz val="10.8"/>
        <color theme="1"/>
        <rFont val="Calibri"/>
        <family val="2"/>
      </rPr>
      <t>3</t>
    </r>
    <r>
      <rPr>
        <sz val="11"/>
        <color theme="1"/>
        <rFont val="Calibri"/>
        <family val="2"/>
        <scheme val="minor"/>
      </rPr>
      <t>/s of Pre Q</t>
    </r>
  </si>
  <si>
    <r>
      <t>Peak Discharge (ft</t>
    </r>
    <r>
      <rPr>
        <vertAlign val="superscript"/>
        <sz val="8"/>
        <color theme="1"/>
        <rFont val="Calibri"/>
        <family val="2"/>
      </rPr>
      <t>3</t>
    </r>
    <r>
      <rPr>
        <sz val="10"/>
        <color theme="1"/>
        <rFont val="Calibri"/>
        <family val="2"/>
        <scheme val="minor"/>
      </rPr>
      <t>/s)</t>
    </r>
  </si>
  <si>
    <t>Design Questions</t>
  </si>
  <si>
    <t>Flooding</t>
  </si>
  <si>
    <t xml:space="preserve"> ac</t>
  </si>
  <si>
    <t xml:space="preserve"> sq-ft</t>
  </si>
  <si>
    <t>Total</t>
  </si>
  <si>
    <t>Does the project drain to an area of known flooding?</t>
  </si>
  <si>
    <t xml:space="preserve">Does the project drain onto an adjacent property? </t>
  </si>
  <si>
    <t>Adj. Property</t>
  </si>
  <si>
    <t xml:space="preserve">Design Form Date: </t>
  </si>
  <si>
    <t>31 December</t>
  </si>
  <si>
    <r>
      <t>Photographs</t>
    </r>
    <r>
      <rPr>
        <sz val="10"/>
        <color theme="1"/>
        <rFont val="Calibri"/>
        <family val="2"/>
        <scheme val="minor"/>
      </rPr>
      <t xml:space="preserve"> </t>
    </r>
  </si>
  <si>
    <t>Caption, date, and/or description on all photographs</t>
  </si>
  <si>
    <t>No. Taken</t>
  </si>
  <si>
    <t>Date</t>
  </si>
  <si>
    <t>Outlet control structure</t>
  </si>
  <si>
    <t>Outfall to receiving stream / storm sewer</t>
  </si>
  <si>
    <t>*Underdrain pipe(s)</t>
  </si>
  <si>
    <t>*Overflow structure</t>
  </si>
  <si>
    <t>Page 1 of 5</t>
  </si>
  <si>
    <t>Page 2 of 5</t>
  </si>
  <si>
    <t>Page 3 of 5</t>
  </si>
  <si>
    <t>Page 4 of 5</t>
  </si>
  <si>
    <t>Page 5 of 5</t>
  </si>
  <si>
    <t>All required photographs are not provided</t>
  </si>
  <si>
    <t>Photographs:</t>
  </si>
  <si>
    <t xml:space="preserve">Contact Name: </t>
  </si>
  <si>
    <t>No. Storms:</t>
  </si>
  <si>
    <t>Known Flooding Req:</t>
  </si>
  <si>
    <t>T-shape</t>
  </si>
  <si>
    <t>Known Flooding Storm:</t>
  </si>
  <si>
    <t>Adj Property Req:</t>
  </si>
  <si>
    <t>Adj Property Storm:</t>
  </si>
  <si>
    <t>Req?</t>
  </si>
  <si>
    <t>Storm</t>
  </si>
  <si>
    <t>Q Lookup</t>
  </si>
  <si>
    <t>Property</t>
  </si>
  <si>
    <t>Pre Q Lookup Table</t>
  </si>
  <si>
    <t xml:space="preserve">Select Area Units: </t>
  </si>
  <si>
    <t xml:space="preserve">Total Area: </t>
  </si>
  <si>
    <t xml:space="preserve">EIA = </t>
  </si>
  <si>
    <t>ac</t>
  </si>
  <si>
    <t xml:space="preserve">Existing Impervious Area (EIA): </t>
  </si>
  <si>
    <t xml:space="preserve">PIA = </t>
  </si>
  <si>
    <t>Units Check</t>
  </si>
  <si>
    <t xml:space="preserve">AIA = </t>
  </si>
  <si>
    <t>ac or sq-ft selection</t>
  </si>
  <si>
    <t>Form 2F.1 - Permeable Pavement
Design Form</t>
  </si>
  <si>
    <t>Permeable Pavement</t>
  </si>
  <si>
    <t xml:space="preserve"> Permeable Pavers</t>
  </si>
  <si>
    <t xml:space="preserve"> Pervious Concrete</t>
  </si>
  <si>
    <t xml:space="preserve"> Inverted Underdrain</t>
  </si>
  <si>
    <t xml:space="preserve"> Other</t>
  </si>
  <si>
    <t xml:space="preserve"> No Infiltration</t>
  </si>
  <si>
    <t xml:space="preserve"> Full Infiltration</t>
  </si>
  <si>
    <t xml:space="preserve"> Partial Infiltration</t>
  </si>
  <si>
    <t xml:space="preserve"> Reinforcement Grids</t>
  </si>
  <si>
    <t xml:space="preserve">Infiltration Rate: </t>
  </si>
  <si>
    <t xml:space="preserve">Permeable Pavement: </t>
  </si>
  <si>
    <t xml:space="preserve">Choking Layer: </t>
  </si>
  <si>
    <t xml:space="preserve">Reservoir Layer: </t>
  </si>
  <si>
    <t xml:space="preserve">Filter Layer: </t>
  </si>
  <si>
    <t xml:space="preserve">Improved Subgrade: </t>
  </si>
  <si>
    <t>Surface Area</t>
  </si>
  <si>
    <t>Volume</t>
  </si>
  <si>
    <t>Porosity</t>
  </si>
  <si>
    <t xml:space="preserve">Separation Geotextile: </t>
  </si>
  <si>
    <t>Observation Well(s)</t>
  </si>
  <si>
    <t xml:space="preserve"> No Observation Well(s)</t>
  </si>
  <si>
    <t xml:space="preserve">No.: </t>
  </si>
  <si>
    <t>All applicable developments shall be responsible for ensuring that post-development hydrology mimics</t>
  </si>
  <si>
    <t xml:space="preserve">The latest version of the Alabama Low Impact Development Handbook for the State of Alabama is </t>
  </si>
  <si>
    <t>incorporated by reference.</t>
  </si>
  <si>
    <t>Applicable design requirements include but are not limited to the following:</t>
  </si>
  <si>
    <t xml:space="preserve">Soils shall have a minimum infiltration rate of 0.5 inches/hour as determined by an </t>
  </si>
  <si>
    <t xml:space="preserve">infiltration test.  An underdrain system shall be used when soils have an infiltration rate </t>
  </si>
  <si>
    <t xml:space="preserve">Permeable pavement systems shall not be designed to infiltrate into soils with high </t>
  </si>
  <si>
    <t>shrink/swell potential due to a high risk of subsurface and surface movement.</t>
  </si>
  <si>
    <t xml:space="preserve">The runoff volume captured by the stormwater management system shall drain away </t>
  </si>
  <si>
    <t>from the underlying soil within 24 to 48 hours.</t>
  </si>
  <si>
    <t>to allow water to properly water to exfiltrate from the stormwater management system.</t>
  </si>
  <si>
    <t>Slopes greater than 2% are not recommended.</t>
  </si>
  <si>
    <r>
      <t xml:space="preserve">of </t>
    </r>
    <r>
      <rPr>
        <u/>
        <sz val="10"/>
        <color theme="1"/>
        <rFont val="Calibri"/>
        <family val="2"/>
        <scheme val="minor"/>
      </rPr>
      <t>&lt;</t>
    </r>
    <r>
      <rPr>
        <sz val="10"/>
        <color theme="1"/>
        <rFont val="Calibri"/>
        <family val="2"/>
        <scheme val="minor"/>
      </rPr>
      <t xml:space="preserve"> 0.5 inches/hour.</t>
    </r>
  </si>
  <si>
    <t xml:space="preserve">Stormwater runoff directed to permeable pavement shall be from impervious surface </t>
  </si>
  <si>
    <t xml:space="preserve">areas.  The ratio of impervious surface area to the permeable pavement surface areas </t>
  </si>
  <si>
    <t>shall not be greater than 3:1.</t>
  </si>
  <si>
    <t>Form 3F - Permeable Pavement
As-Built Certification Form</t>
  </si>
  <si>
    <t xml:space="preserve">Drainage Area </t>
  </si>
  <si>
    <t>Lat Text</t>
  </si>
  <si>
    <t>Long Text</t>
  </si>
  <si>
    <t>Latitude and/or Longitude has been entered as text.  Change to a number.</t>
  </si>
  <si>
    <t>Will future development phases discharge into the permeable pavement?  Complete Form 2F.2.</t>
  </si>
  <si>
    <t>Form 2F.2 - Permeable Pavement Design Form Attachment is attached?</t>
  </si>
  <si>
    <t>Does the permeable pavement discharge into an existing storm sewer (i.e. pipe, concrete swale, etc.)?</t>
  </si>
  <si>
    <t xml:space="preserve">Parcel No.: </t>
  </si>
  <si>
    <t>Post-development discharges shall be less than pre-development discharges at all discharge locations.</t>
  </si>
  <si>
    <t>Provide the velocity at the end of any velocity dissipation device.</t>
  </si>
  <si>
    <t xml:space="preserve">H&amp;H calculations shall include all the information required to validate information provided on this form i.e. model </t>
  </si>
  <si>
    <t xml:space="preserve">network, existing drainage areas, proposed drainage areas, time of concentration, curve number, pre-development </t>
  </si>
  <si>
    <t xml:space="preserve">peak discharges, post-development peak discharges, outlet structure geometry, emergency spillway geometry, </t>
  </si>
  <si>
    <t>Parcel No. has not been provided</t>
  </si>
  <si>
    <t>Parcel No.:</t>
  </si>
  <si>
    <t>By affixing my professional seal and signature on this form, I hereby certify that the permeable pavement:</t>
  </si>
  <si>
    <t>Permeable Pavement:</t>
  </si>
  <si>
    <t xml:space="preserve"> Porous Asphalt</t>
  </si>
  <si>
    <t xml:space="preserve"> Permeable Interlocking Concrete Pavers</t>
  </si>
  <si>
    <t xml:space="preserve"> Concrete Grid Pavers</t>
  </si>
  <si>
    <t xml:space="preserve">Design: </t>
  </si>
  <si>
    <t xml:space="preserve">Type:  </t>
  </si>
  <si>
    <t xml:space="preserve">Geotextile: </t>
  </si>
  <si>
    <t xml:space="preserve">Perforated Pipe: </t>
  </si>
  <si>
    <t xml:space="preserve">Outlet Pipe: </t>
  </si>
  <si>
    <t xml:space="preserve"> None</t>
  </si>
  <si>
    <t xml:space="preserve">No. Wells: </t>
  </si>
  <si>
    <t>General overview</t>
  </si>
  <si>
    <t>*Improved Subgrade</t>
  </si>
  <si>
    <t>*Filter layer</t>
  </si>
  <si>
    <t>*Reservoir layer</t>
  </si>
  <si>
    <t>*Choking layer</t>
  </si>
  <si>
    <t>*Observation Well(s)</t>
  </si>
  <si>
    <t>*Separation Geotextile</t>
  </si>
  <si>
    <t>By affixing my professional seal and signature on this form, I hereby certify that the permeable pavement has been constructed in accordance with the approved design.  I further certify that the drainage areas shown in the approved hydrology and hydraulic (H&amp;H) calculations do in fact drain to the permeable pavement and that the post-development runoff mimics pre-development hydrology to the maximum extent practicable (MEP).</t>
  </si>
  <si>
    <t>Will not adversely impact and/or cause flooding of structures within, upstream, and/or downstream of the</t>
  </si>
  <si>
    <t>development;</t>
  </si>
  <si>
    <t>Spillage agreement</t>
  </si>
  <si>
    <t>If a proposed development discharges onto an adjacent property, the proposed development shall:</t>
  </si>
  <si>
    <t>Agreement Type:</t>
  </si>
  <si>
    <t>Known Flooding Storm &lt;:</t>
  </si>
  <si>
    <t>Adj Property Storm&lt;:</t>
  </si>
  <si>
    <t>Known or Adj Storm</t>
  </si>
  <si>
    <t>Requirements</t>
  </si>
  <si>
    <t>Question</t>
  </si>
  <si>
    <t>5, 10, 25, 50, and 100</t>
  </si>
  <si>
    <t>10, 25, 50, and 100</t>
  </si>
  <si>
    <t>25, 50, and 100</t>
  </si>
  <si>
    <t>50 and 100</t>
  </si>
  <si>
    <t>Known or Adj Design Storm:</t>
  </si>
  <si>
    <t>Known or Adj Design Storm&lt;:</t>
  </si>
  <si>
    <t>Outlet Protection</t>
  </si>
  <si>
    <t>Riprap apron</t>
  </si>
  <si>
    <t>Concrete flume with baffles</t>
  </si>
  <si>
    <t>Concrete box with chambers</t>
  </si>
  <si>
    <t>Concrete box with baffles</t>
  </si>
  <si>
    <t>Pre-manufactured product</t>
  </si>
  <si>
    <t>Outlet Protection:</t>
  </si>
  <si>
    <t>Outlet protection section not completed</t>
  </si>
  <si>
    <t>Will a level spreader be used?</t>
  </si>
  <si>
    <t>Design Storm</t>
  </si>
  <si>
    <t>Max Stage for 2, 5, 10, 25, and/or 50-year storm  &gt; emergency spillway crest elevation</t>
  </si>
  <si>
    <t xml:space="preserve">Effective Date: </t>
  </si>
  <si>
    <t xml:space="preserve">Acceptance (required): </t>
  </si>
  <si>
    <t>I ACCEPT</t>
  </si>
  <si>
    <t xml:space="preserve">Expiration Date: </t>
  </si>
  <si>
    <t xml:space="preserve">Current Status: </t>
  </si>
  <si>
    <t xml:space="preserve">IMPORTANT - READ BEFORE USE: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</si>
  <si>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</si>
  <si>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</si>
  <si>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</si>
  <si>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</si>
  <si>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</si>
  <si>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</si>
  <si>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</si>
  <si>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</si>
  <si>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</si>
  <si>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</si>
  <si>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</si>
  <si>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DO NOT ACCEPT</t>
  </si>
  <si>
    <t>Baldwin County</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</si>
  <si>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</si>
  <si>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</si>
  <si>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</si>
  <si>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</si>
  <si>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</si>
  <si>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</si>
  <si>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</si>
  <si>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</si>
  <si>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</si>
  <si>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</si>
  <si>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</si>
  <si>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</si>
  <si>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</si>
  <si>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</si>
  <si>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</si>
  <si>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</si>
  <si>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</si>
  <si>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</si>
  <si>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</si>
  <si>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As-Built does not match Design, provide a reason in the Comments section</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</si>
  <si>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</si>
  <si>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</si>
  <si>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</si>
  <si>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</si>
  <si>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</si>
  <si>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-yr</t>
  </si>
  <si>
    <t xml:space="preserve"> O&amp;M Plan</t>
  </si>
  <si>
    <t>Drainage Rights</t>
  </si>
  <si>
    <t>Permeable Pavement (PP)</t>
  </si>
  <si>
    <r>
      <t>PP In Q
(ft</t>
    </r>
    <r>
      <rPr>
        <vertAlign val="superscript"/>
        <sz val="8"/>
        <color theme="1"/>
        <rFont val="Calibri"/>
        <family val="2"/>
      </rPr>
      <t>3</t>
    </r>
    <r>
      <rPr>
        <sz val="10"/>
        <color theme="1"/>
        <rFont val="Calibri"/>
        <family val="2"/>
        <scheme val="minor"/>
      </rPr>
      <t>/s)</t>
    </r>
  </si>
  <si>
    <r>
      <t>PP Out Q 
(ft</t>
    </r>
    <r>
      <rPr>
        <vertAlign val="superscript"/>
        <sz val="8"/>
        <color theme="1"/>
        <rFont val="Calibri"/>
        <family val="2"/>
      </rPr>
      <t>3</t>
    </r>
    <r>
      <rPr>
        <sz val="10"/>
        <color theme="1"/>
        <rFont val="Calibri"/>
        <family val="2"/>
        <scheme val="minor"/>
      </rPr>
      <t>/s)</t>
    </r>
  </si>
  <si>
    <t>PP = Permeable Pavement</t>
  </si>
  <si>
    <t>END USER LICENSE AGREEMENT (EULA)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</si>
  <si>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</si>
  <si>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maintaining internal records for that submittal; and (b) you have authority to bind your organization ("User").  If you are not</t>
  </si>
  <si>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</si>
  <si>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</si>
  <si>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</si>
  <si>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</si>
  <si>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</si>
  <si>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</si>
  <si>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</si>
  <si>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</si>
  <si>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regulations control.  User is solely responsible for the accuracy and completeness of all data and deliverables.</t>
  </si>
  <si>
    <t>No Professional Services; User Responsibility</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</si>
  <si>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</si>
  <si>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</si>
  <si>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</si>
  <si>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</si>
  <si>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</si>
  <si>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</si>
  <si>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</si>
  <si>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</si>
  <si>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</si>
  <si>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</si>
  <si>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</si>
  <si>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</si>
  <si>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Permeable pavement cannot be constructed within the floodway</t>
  </si>
  <si>
    <t>properties located within, upstream, and/or downstream of the development</t>
  </si>
  <si>
    <t>Installation of permeable pavement shall not adversely impact and/or cause  flooding of</t>
  </si>
  <si>
    <t>A stormwater pathway (i.e. piped storm sewer, overland flow, etc.) within the development shall</t>
  </si>
  <si>
    <t>be provided to convey the discharge resulting from a 100-year, 24-hour storm event in a manner that will not</t>
  </si>
  <si>
    <t>adversely impact and/or cause flooding of structures within the development</t>
  </si>
  <si>
    <t>stage-area storage summary, pond discharge summary, inflow and outflow hydrographs, and outlet  velocities.</t>
  </si>
  <si>
    <t>Perform a field survey of the constructed permeable pavement; and,</t>
  </si>
  <si>
    <t>Use the as-built survey data to complete Form 3E – Permeable Pavement As-built Certification Form;</t>
  </si>
  <si>
    <t>Caption identifying the date, location, and description of the photograph</t>
  </si>
  <si>
    <t>Permeable pavement system components during construction</t>
  </si>
  <si>
    <t>Emergency spillway and discharge location, if applicable</t>
  </si>
  <si>
    <t>Location where the permeable pavement discharges into receiving stream, culvert, or channel</t>
  </si>
  <si>
    <t>Form 2G - Level Spreader Design Form is attached?</t>
  </si>
  <si>
    <t>Lee County</t>
  </si>
  <si>
    <t>Release Agreement</t>
  </si>
  <si>
    <t>Spillage Agreement</t>
  </si>
  <si>
    <t xml:space="preserve">Rise: </t>
  </si>
  <si>
    <t xml:space="preserve">Span: </t>
  </si>
  <si>
    <t xml:space="preserve">Additional Pre and/or Post basin information provided on </t>
  </si>
  <si>
    <r>
      <t>Additional Basin Information:</t>
    </r>
    <r>
      <rPr>
        <b/>
        <sz val="12"/>
        <color theme="1"/>
        <rFont val="Calibri"/>
        <family val="2"/>
        <scheme val="minor"/>
      </rPr>
      <t xml:space="preserve"> </t>
    </r>
    <r>
      <rPr>
        <sz val="10"/>
        <color theme="1"/>
        <rFont val="Calibri"/>
        <family val="2"/>
        <scheme val="minor"/>
      </rPr>
      <t xml:space="preserve"> </t>
    </r>
  </si>
  <si>
    <t>Riprap?</t>
  </si>
  <si>
    <t>Class</t>
  </si>
  <si>
    <t>Riprap Class</t>
  </si>
  <si>
    <t xml:space="preserve">Outlet pipe discharges into a storm sewer pipe, concrete swale or riprap swale? </t>
  </si>
  <si>
    <t>Min Depth (ft)</t>
  </si>
  <si>
    <t>Land slope exceeds the recommended 2% maximum</t>
  </si>
  <si>
    <t>Hydrologic Soil Gourp:</t>
  </si>
  <si>
    <t>Hydrologic Soil Groups C and D are not appropriate for permeable pavements</t>
  </si>
  <si>
    <t>Infiltration Rate:</t>
  </si>
  <si>
    <t>Soils should have a minimum infiltration rate of 0.50-in/hr</t>
  </si>
  <si>
    <t>Water table should be a minimum of 2-ft below permeable pavement base</t>
  </si>
  <si>
    <t xml:space="preserve">Seasonally High Water Table EL: </t>
  </si>
  <si>
    <t>Depth to Water Table:</t>
  </si>
  <si>
    <t xml:space="preserve">Improved Base: </t>
  </si>
  <si>
    <t>Drain time exceeds the recommended 48 hours</t>
  </si>
  <si>
    <t>Form 2F.3 - Permeable Pavement Additional Basins Form is attached?</t>
  </si>
  <si>
    <t xml:space="preserve"> No Outlet Pipe</t>
  </si>
  <si>
    <t xml:space="preserve">The seasonally high-water table shall be a minimum of 2-feet below the permeable pavement base layer </t>
  </si>
  <si>
    <t>Routine inspections for deterioration</t>
  </si>
  <si>
    <t>Routine inspections for sediment</t>
  </si>
  <si>
    <t>Inspecting adjacent pervious areas</t>
  </si>
  <si>
    <t>Routine sweeping</t>
  </si>
  <si>
    <t>Sediment removal</t>
  </si>
  <si>
    <t>Stabilizing adjacent pervious areas</t>
  </si>
  <si>
    <t>Will the permeable pavement discharge to an area of sheet flow?</t>
  </si>
  <si>
    <t>Will the permeable pavement discharge to a channel?</t>
  </si>
  <si>
    <t>Drainage areas shown in the hydrology and hydraulic (H&amp;H) calculations drain into the permeable pavement; and,</t>
  </si>
  <si>
    <t xml:space="preserve">Location of the permeable pavement, contours, spot elevations, outlet structure, outlet pipe, </t>
  </si>
  <si>
    <t>and outlet protection</t>
  </si>
  <si>
    <t>General overview of the permeable pavement</t>
  </si>
  <si>
    <t>The calculation methodology shall utilize the Natural Resources Conservation Service (NRCS) Urban</t>
  </si>
  <si>
    <t>*Photographs shall be taken during construction of the permeable pavement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</si>
</sst>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409]d\-mmm\-yy;@"/>
    <numFmt numFmtId="165" formatCode="0.000000"/>
    <numFmt numFmtId="166" formatCode="0."/>
    <numFmt numFmtId="167" formatCode="[$-409]d\ mmmm\ yyyy;@"/>
    <numFmt numFmtId="168" formatCode="[$-409]dd\ mmmm\ yyyy;@"/>
    <numFmt numFmtId="169" formatCode="[&lt;=9999999]###\-####;\(###\)\ ###\-####"/>
    <numFmt numFmtId="170" formatCode="[$-409]mmmm\ d\,\ yyyy;@"/>
    <numFmt numFmtId="171" formatCode="#,##0.0000"/>
    <numFmt numFmtId="172" formatCode="00\ 00\ 00\ 0\ 000\ 000.000"/>
    <numFmt numFmtId="173" formatCode="[$-409]dd\ mmmm\ yyyy\ h:mm\ AM/PM;@"/>
    <numFmt numFmtId="174" formatCode="0\)"/>
    <numFmt numFmtId="175" formatCode="0.000000_);\(0.000000\)"/>
  </numFmts>
  <fonts count="31"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10"/>
      <color theme="1"/>
      <name val="Calibri"/>
      <family val="2"/>
    </font>
    <font>
      <vertAlign val="superscript"/>
      <sz val="8"/>
      <color theme="1"/>
      <name val="Calibri"/>
      <family val="2"/>
    </font>
    <font>
      <u/>
      <sz val="10"/>
      <color theme="1"/>
      <name val="Calibri"/>
      <family val="2"/>
      <scheme val="minor"/>
    </font>
    <font>
      <b/>
      <sz val="12"/>
      <color theme="1"/>
      <name val="Calibri"/>
      <family val="2"/>
      <scheme val="minor"/>
    </font>
    <font>
      <vertAlign val="subscript"/>
      <sz val="15"/>
      <color theme="1"/>
      <name val="Calibri"/>
      <family val="2"/>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perscript"/>
      <sz val="9"/>
      <color theme="1"/>
      <name val="Calibri"/>
      <family val="2"/>
    </font>
    <font>
      <vertAlign val="subscript"/>
      <sz val="10"/>
      <color theme="1"/>
      <name val="Calibri"/>
      <family val="2"/>
      <scheme val="minor"/>
    </font>
    <font>
      <u/>
      <sz val="10"/>
      <color theme="10"/>
      <name val="Calibri"/>
      <family val="2"/>
      <scheme val="minor"/>
    </font>
    <font>
      <vertAlign val="superscript"/>
      <sz val="10"/>
      <color theme="1"/>
      <name val="Calibri"/>
      <family val="2"/>
      <scheme val="minor"/>
    </font>
    <font>
      <sz val="8"/>
      <name val="Calibri"/>
      <family val="2"/>
      <scheme val="minor"/>
    </font>
    <font>
      <sz val="10"/>
      <color theme="1"/>
      <name val="Calibri"/>
      <family val="2"/>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b/>
      <sz val="11"/>
      <color theme="0"/>
      <name val="Calibri"/>
      <family val="2"/>
      <scheme val="minor"/>
    </font>
    <font>
      <b/>
      <sz val="12"/>
      <color theme="1"/>
      <name val="Calibri"/>
      <family val="2"/>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8">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medium">
        <color auto="1"/>
      </right>
      <top/>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right style="thick">
        <color auto="1"/>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medium">
        <color auto="1"/>
      </left>
      <right/>
      <top/>
      <bottom/>
      <diagonal/>
    </border>
  </borders>
  <cellStyleXfs count="2">
    <xf numFmtId="0" fontId="0" fillId="0" borderId="0"/>
    <xf numFmtId="0" fontId="11" fillId="0" borderId="0" applyNumberFormat="0" applyFill="0" applyBorder="0" applyAlignment="0" applyProtection="0"/>
  </cellStyleXfs>
  <cellXfs count="245">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9" fillId="0" borderId="0" xfId="0" applyFont="1" applyAlignment="1">
      <alignment vertical="center"/>
    </xf>
    <xf numFmtId="4" fontId="3" fillId="0" borderId="0" xfId="0" applyNumberFormat="1" applyFont="1" applyAlignment="1" applyProtection="1">
      <alignment vertical="center"/>
      <protection hidden="1"/>
    </xf>
    <xf numFmtId="0" fontId="3" fillId="4" borderId="0" xfId="0" applyFont="1" applyFill="1" applyAlignment="1">
      <alignment vertical="center"/>
    </xf>
    <xf numFmtId="0" fontId="3" fillId="4" borderId="0" xfId="0" applyFont="1" applyFill="1" applyAlignment="1">
      <alignment horizontal="right" vertical="center"/>
    </xf>
    <xf numFmtId="0" fontId="3" fillId="0" borderId="0" xfId="0" applyFont="1" applyAlignment="1">
      <alignment horizontal="left" vertical="center"/>
    </xf>
    <xf numFmtId="0" fontId="3" fillId="6" borderId="0" xfId="0" applyFont="1" applyFill="1" applyAlignment="1">
      <alignment vertical="center"/>
    </xf>
    <xf numFmtId="166" fontId="15" fillId="0" borderId="0" xfId="0" applyNumberFormat="1"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xf>
    <xf numFmtId="4" fontId="15" fillId="0" borderId="1" xfId="0" applyNumberFormat="1" applyFont="1" applyBorder="1" applyAlignment="1">
      <alignment vertical="center"/>
    </xf>
    <xf numFmtId="0" fontId="16" fillId="2" borderId="1" xfId="0" applyFont="1" applyFill="1" applyBorder="1" applyAlignment="1">
      <alignment vertical="center"/>
    </xf>
    <xf numFmtId="0" fontId="15" fillId="5" borderId="1" xfId="0" applyFont="1" applyFill="1" applyBorder="1" applyAlignment="1">
      <alignment vertical="center"/>
    </xf>
    <xf numFmtId="0" fontId="9" fillId="0" borderId="0" xfId="0" applyFont="1" applyAlignment="1">
      <alignment horizontal="left" vertical="center"/>
    </xf>
    <xf numFmtId="0" fontId="3" fillId="0" borderId="11" xfId="0" applyFont="1" applyBorder="1" applyAlignment="1">
      <alignment horizontal="center" vertical="center"/>
    </xf>
    <xf numFmtId="0" fontId="3" fillId="6"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2" fontId="3" fillId="0" borderId="0" xfId="0" applyNumberFormat="1" applyFont="1" applyAlignment="1">
      <alignment horizontal="right" vertical="center"/>
    </xf>
    <xf numFmtId="2" fontId="3" fillId="0" borderId="0" xfId="0" applyNumberFormat="1" applyFont="1" applyAlignment="1">
      <alignment vertical="center"/>
    </xf>
    <xf numFmtId="0" fontId="3" fillId="0" borderId="0" xfId="0" applyFont="1" applyAlignment="1">
      <alignment horizontal="right"/>
    </xf>
    <xf numFmtId="0" fontId="12" fillId="0" borderId="0" xfId="0" applyFont="1" applyAlignment="1">
      <alignment vertical="center"/>
    </xf>
    <xf numFmtId="165" fontId="3" fillId="0" borderId="0" xfId="0" applyNumberFormat="1" applyFont="1" applyAlignment="1">
      <alignment vertical="center"/>
    </xf>
    <xf numFmtId="3" fontId="3" fillId="0" borderId="0" xfId="0" applyNumberFormat="1" applyFont="1" applyAlignment="1">
      <alignment vertical="center"/>
    </xf>
    <xf numFmtId="4" fontId="3" fillId="0" borderId="0" xfId="0" applyNumberFormat="1" applyFont="1" applyAlignment="1">
      <alignment vertical="center"/>
    </xf>
    <xf numFmtId="0" fontId="3" fillId="0" borderId="0" xfId="0" applyFont="1" applyAlignment="1">
      <alignment horizontal="right" vertical="center" indent="1"/>
    </xf>
    <xf numFmtId="3" fontId="3" fillId="0" borderId="0" xfId="0" applyNumberFormat="1" applyFont="1" applyAlignment="1">
      <alignment horizontal="right" vertical="center"/>
    </xf>
    <xf numFmtId="0" fontId="18" fillId="0" borderId="0" xfId="0" applyFont="1" applyAlignment="1">
      <alignment horizontal="center" vertical="center" wrapText="1"/>
    </xf>
    <xf numFmtId="0" fontId="11" fillId="0" borderId="0" xfId="1" applyBorder="1" applyAlignment="1" applyProtection="1">
      <alignment horizontal="left" vertical="center"/>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12" fillId="4" borderId="0" xfId="0" applyFont="1" applyFill="1" applyAlignment="1">
      <alignment horizontal="right" vertical="center"/>
    </xf>
    <xf numFmtId="0" fontId="12" fillId="4" borderId="0" xfId="0" applyFont="1" applyFill="1" applyAlignment="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166" fontId="14" fillId="0" borderId="0" xfId="0" applyNumberFormat="1" applyFont="1" applyAlignment="1">
      <alignment vertical="center"/>
    </xf>
    <xf numFmtId="0" fontId="3" fillId="6" borderId="0" xfId="0" applyFont="1" applyFill="1" applyAlignment="1">
      <alignment horizontal="left" vertical="center"/>
    </xf>
    <xf numFmtId="0" fontId="15" fillId="0" borderId="0" xfId="0" applyFont="1" applyAlignment="1">
      <alignment horizontal="left" vertical="center" wrapText="1"/>
    </xf>
    <xf numFmtId="0" fontId="15"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17" fillId="0" borderId="0" xfId="0" applyFont="1" applyAlignment="1">
      <alignment horizontal="center" vertical="center"/>
    </xf>
    <xf numFmtId="0" fontId="0" fillId="0" borderId="0" xfId="0" applyAlignment="1">
      <alignment vertical="top" wrapText="1"/>
    </xf>
    <xf numFmtId="0" fontId="0" fillId="0" borderId="0" xfId="0" applyAlignment="1">
      <alignment vertical="top"/>
    </xf>
    <xf numFmtId="0" fontId="3" fillId="0" borderId="3" xfId="0" applyFont="1" applyBorder="1" applyAlignment="1">
      <alignment vertical="center"/>
    </xf>
    <xf numFmtId="0" fontId="2" fillId="6" borderId="0" xfId="0" applyFont="1" applyFill="1" applyAlignment="1">
      <alignment vertical="center" wrapText="1"/>
    </xf>
    <xf numFmtId="0" fontId="2" fillId="0" borderId="0" xfId="0" applyFont="1" applyAlignment="1">
      <alignment vertical="center"/>
    </xf>
    <xf numFmtId="0" fontId="3" fillId="6" borderId="0" xfId="0" applyFont="1" applyFill="1" applyAlignment="1">
      <alignment horizontal="right" vertical="center"/>
    </xf>
    <xf numFmtId="1" fontId="3" fillId="0" borderId="0" xfId="0" applyNumberFormat="1" applyFont="1" applyAlignment="1">
      <alignment vertical="center"/>
    </xf>
    <xf numFmtId="3" fontId="3" fillId="0" borderId="3" xfId="0" applyNumberFormat="1" applyFont="1" applyBorder="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left" vertical="top" wrapText="1"/>
    </xf>
    <xf numFmtId="0" fontId="8" fillId="0" borderId="0" xfId="0" applyFont="1" applyAlignment="1">
      <alignment vertical="center"/>
    </xf>
    <xf numFmtId="166" fontId="0" fillId="0" borderId="0" xfId="0" applyNumberFormat="1" applyAlignment="1">
      <alignment horizontal="center" vertical="top"/>
    </xf>
    <xf numFmtId="0" fontId="0" fillId="0" borderId="0" xfId="0" applyAlignment="1">
      <alignment horizontal="left" vertical="top" wrapText="1"/>
    </xf>
    <xf numFmtId="0" fontId="0" fillId="0" borderId="0" xfId="0" applyAlignment="1">
      <alignment horizontal="center" vertical="top" wrapText="1"/>
    </xf>
    <xf numFmtId="0" fontId="3" fillId="0" borderId="13" xfId="0" applyFont="1" applyBorder="1" applyAlignment="1">
      <alignment vertical="center"/>
    </xf>
    <xf numFmtId="0" fontId="0" fillId="0" borderId="0" xfId="0" applyAlignment="1">
      <alignment horizontal="right" vertical="center"/>
    </xf>
    <xf numFmtId="0" fontId="3" fillId="0" borderId="1" xfId="0" applyFont="1" applyBorder="1" applyAlignment="1">
      <alignment vertical="center"/>
    </xf>
    <xf numFmtId="0" fontId="3" fillId="4" borderId="0" xfId="0" applyFont="1" applyFill="1" applyAlignment="1">
      <alignment horizontal="lef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top"/>
    </xf>
    <xf numFmtId="0" fontId="3" fillId="0" borderId="0" xfId="0" applyFont="1"/>
    <xf numFmtId="166" fontId="3" fillId="0" borderId="0" xfId="0" applyNumberFormat="1" applyFont="1" applyAlignment="1">
      <alignment horizontal="center" vertical="top"/>
    </xf>
    <xf numFmtId="0" fontId="3" fillId="0" borderId="0" xfId="0" applyFont="1" applyAlignment="1">
      <alignment horizontal="center" vertical="top" wrapText="1"/>
    </xf>
    <xf numFmtId="0" fontId="24" fillId="0" borderId="0" xfId="0" applyFont="1" applyAlignment="1">
      <alignment horizontal="center" vertical="center"/>
    </xf>
    <xf numFmtId="0" fontId="3" fillId="6" borderId="11" xfId="0" applyFont="1" applyFill="1" applyBorder="1" applyAlignment="1">
      <alignment horizontal="center" vertical="center"/>
    </xf>
    <xf numFmtId="0" fontId="3" fillId="6" borderId="3" xfId="0" applyFont="1" applyFill="1" applyBorder="1" applyAlignment="1">
      <alignment horizontal="center" vertical="center"/>
    </xf>
    <xf numFmtId="0" fontId="9" fillId="6" borderId="0" xfId="0" applyFont="1" applyFill="1" applyAlignment="1">
      <alignment horizontal="center" vertical="center"/>
    </xf>
    <xf numFmtId="0" fontId="5" fillId="4" borderId="0" xfId="0" applyFont="1" applyFill="1" applyAlignment="1">
      <alignment horizontal="right" vertical="center"/>
    </xf>
    <xf numFmtId="3" fontId="3" fillId="6" borderId="11" xfId="0" applyNumberFormat="1" applyFont="1" applyFill="1" applyBorder="1" applyAlignment="1">
      <alignment horizontal="center" vertical="center"/>
    </xf>
    <xf numFmtId="1" fontId="3" fillId="6" borderId="11" xfId="0" applyNumberFormat="1" applyFont="1" applyFill="1" applyBorder="1" applyAlignment="1">
      <alignment horizontal="center" vertical="center"/>
    </xf>
    <xf numFmtId="2" fontId="3" fillId="6" borderId="11" xfId="0" applyNumberFormat="1" applyFont="1" applyFill="1" applyBorder="1" applyAlignment="1">
      <alignment horizontal="center" vertical="center"/>
    </xf>
    <xf numFmtId="0" fontId="9" fillId="6" borderId="0" xfId="0" applyFont="1" applyFill="1" applyAlignment="1">
      <alignment horizontal="right" vertical="center"/>
    </xf>
    <xf numFmtId="0" fontId="28" fillId="0" borderId="0" xfId="0" applyFont="1"/>
    <xf numFmtId="0" fontId="3" fillId="0" borderId="3" xfId="0" applyFont="1" applyBorder="1" applyAlignment="1">
      <alignment horizontal="right" vertical="center"/>
    </xf>
    <xf numFmtId="0" fontId="3" fillId="6" borderId="2" xfId="0" applyFont="1" applyFill="1" applyBorder="1" applyAlignment="1">
      <alignment horizontal="center" vertical="center"/>
    </xf>
    <xf numFmtId="0" fontId="15" fillId="0" borderId="0" xfId="0" applyFont="1" applyAlignment="1">
      <alignment horizontal="center" vertical="center"/>
    </xf>
    <xf numFmtId="3" fontId="3" fillId="0" borderId="0" xfId="0" applyNumberFormat="1" applyFont="1" applyAlignment="1">
      <alignment horizontal="center"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1" fontId="0" fillId="0" borderId="0" xfId="0" applyNumberFormat="1" applyAlignment="1">
      <alignment horizontal="center"/>
    </xf>
    <xf numFmtId="0" fontId="3" fillId="6" borderId="15"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vertical="center"/>
    </xf>
    <xf numFmtId="4" fontId="3" fillId="6" borderId="8" xfId="0" applyNumberFormat="1" applyFont="1" applyFill="1" applyBorder="1" applyAlignment="1">
      <alignment vertical="center"/>
    </xf>
    <xf numFmtId="0" fontId="3" fillId="6" borderId="9" xfId="0" applyFont="1" applyFill="1" applyBorder="1" applyAlignment="1">
      <alignment vertical="center"/>
    </xf>
    <xf numFmtId="4" fontId="3" fillId="6" borderId="10" xfId="0" applyNumberFormat="1" applyFont="1" applyFill="1" applyBorder="1" applyAlignment="1">
      <alignment vertical="center"/>
    </xf>
    <xf numFmtId="2" fontId="3" fillId="6" borderId="15" xfId="0" applyNumberFormat="1" applyFont="1" applyFill="1" applyBorder="1" applyAlignment="1">
      <alignment horizontal="center" vertical="center"/>
    </xf>
    <xf numFmtId="0" fontId="5" fillId="3" borderId="3" xfId="0" applyFont="1" applyFill="1" applyBorder="1" applyAlignment="1">
      <alignment horizontal="right" vertical="center"/>
    </xf>
    <xf numFmtId="2" fontId="3" fillId="6" borderId="0" xfId="0" applyNumberFormat="1" applyFont="1" applyFill="1" applyAlignment="1">
      <alignment horizontal="center" vertical="center"/>
    </xf>
    <xf numFmtId="1" fontId="3" fillId="6" borderId="0" xfId="0" applyNumberFormat="1" applyFont="1" applyFill="1" applyAlignment="1">
      <alignment horizontal="center" vertical="center"/>
    </xf>
    <xf numFmtId="171" fontId="3" fillId="6" borderId="11" xfId="0" applyNumberFormat="1" applyFont="1" applyFill="1" applyBorder="1" applyAlignment="1">
      <alignment vertical="center"/>
    </xf>
    <xf numFmtId="1" fontId="3" fillId="0" borderId="3" xfId="0" applyNumberFormat="1" applyFont="1" applyBorder="1" applyAlignment="1">
      <alignment vertical="center"/>
    </xf>
    <xf numFmtId="167" fontId="0" fillId="7" borderId="12" xfId="0" applyNumberFormat="1" applyFill="1" applyBorder="1" applyAlignment="1">
      <alignment horizontal="center"/>
    </xf>
    <xf numFmtId="0" fontId="0" fillId="7" borderId="12" xfId="0" applyFill="1" applyBorder="1" applyAlignment="1">
      <alignment horizontal="center"/>
    </xf>
    <xf numFmtId="2" fontId="0" fillId="0" borderId="0" xfId="0" applyNumberFormat="1" applyAlignment="1">
      <alignment horizontal="center"/>
    </xf>
    <xf numFmtId="168" fontId="0" fillId="0" borderId="0" xfId="0" applyNumberFormat="1" applyAlignment="1">
      <alignment horizontal="center"/>
    </xf>
    <xf numFmtId="167" fontId="0" fillId="0" borderId="0" xfId="0" applyNumberFormat="1" applyAlignment="1">
      <alignment horizontal="center"/>
    </xf>
    <xf numFmtId="2" fontId="0" fillId="0" borderId="0" xfId="0" applyNumberFormat="1" applyAlignment="1">
      <alignment horizontal="center" vertical="center"/>
    </xf>
    <xf numFmtId="168" fontId="0" fillId="0" borderId="0" xfId="0" quotePrefix="1" applyNumberFormat="1" applyAlignment="1">
      <alignment horizontal="center"/>
    </xf>
    <xf numFmtId="167" fontId="0" fillId="0" borderId="0" xfId="0" quotePrefix="1" applyNumberFormat="1" applyAlignment="1">
      <alignment horizontal="center"/>
    </xf>
    <xf numFmtId="0" fontId="1" fillId="6" borderId="0" xfId="0" applyFont="1" applyFill="1" applyAlignment="1">
      <alignment horizontal="center" vertical="center"/>
    </xf>
    <xf numFmtId="0" fontId="0" fillId="6" borderId="0" xfId="0" applyFill="1" applyAlignment="1">
      <alignment horizontal="center" vertical="center"/>
    </xf>
    <xf numFmtId="0" fontId="5" fillId="0" borderId="0" xfId="0" applyFont="1" applyAlignment="1">
      <alignment vertical="center"/>
    </xf>
    <xf numFmtId="0" fontId="0" fillId="0" borderId="0" xfId="0" applyAlignment="1">
      <alignment horizontal="center" vertical="center"/>
    </xf>
    <xf numFmtId="1" fontId="0" fillId="0" borderId="0" xfId="0" applyNumberFormat="1" applyAlignment="1">
      <alignment horizontal="center" vertical="center"/>
    </xf>
    <xf numFmtId="0" fontId="3" fillId="0" borderId="16" xfId="0" applyFont="1" applyBorder="1" applyAlignment="1">
      <alignment vertical="center"/>
    </xf>
    <xf numFmtId="0" fontId="3" fillId="0" borderId="16" xfId="0" applyFont="1" applyBorder="1" applyAlignment="1">
      <alignment horizontal="right" vertical="center"/>
    </xf>
    <xf numFmtId="3" fontId="3" fillId="6" borderId="0" xfId="0" applyNumberFormat="1" applyFont="1" applyFill="1" applyAlignment="1">
      <alignment horizontal="center" vertical="center"/>
    </xf>
    <xf numFmtId="4" fontId="3" fillId="6" borderId="0" xfId="0" applyNumberFormat="1" applyFont="1" applyFill="1" applyAlignment="1">
      <alignment vertical="center"/>
    </xf>
    <xf numFmtId="1" fontId="3" fillId="6" borderId="15" xfId="0" applyNumberFormat="1" applyFont="1" applyFill="1" applyBorder="1" applyAlignment="1">
      <alignment horizontal="center" vertical="center"/>
    </xf>
    <xf numFmtId="0" fontId="9" fillId="0" borderId="0" xfId="0" applyFont="1" applyAlignment="1">
      <alignment horizontal="right" vertical="center"/>
    </xf>
    <xf numFmtId="0" fontId="15" fillId="6" borderId="0" xfId="0" applyFont="1" applyFill="1" applyAlignment="1">
      <alignment vertical="center"/>
    </xf>
    <xf numFmtId="0" fontId="9" fillId="0" borderId="11" xfId="0" applyFont="1" applyBorder="1" applyAlignment="1" applyProtection="1">
      <alignment horizontal="center" vertical="center"/>
      <protection locked="0"/>
    </xf>
    <xf numFmtId="0" fontId="15" fillId="6" borderId="11" xfId="0" applyFont="1" applyFill="1" applyBorder="1" applyAlignment="1">
      <alignment horizontal="center" vertical="center"/>
    </xf>
    <xf numFmtId="0" fontId="15" fillId="6" borderId="0" xfId="0" applyFont="1" applyFill="1" applyAlignment="1">
      <alignment horizontal="center" vertical="center"/>
    </xf>
    <xf numFmtId="0" fontId="0" fillId="0" borderId="20" xfId="0" applyBorder="1" applyAlignment="1">
      <alignment horizontal="right" vertical="center"/>
    </xf>
    <xf numFmtId="173" fontId="0" fillId="0" borderId="21" xfId="0" applyNumberFormat="1" applyBorder="1" applyAlignment="1">
      <alignment horizontal="center"/>
    </xf>
    <xf numFmtId="0" fontId="0" fillId="0" borderId="22" xfId="0" applyBorder="1" applyAlignment="1">
      <alignment horizontal="right" vertical="center"/>
    </xf>
    <xf numFmtId="0" fontId="0" fillId="9" borderId="23" xfId="0" applyFill="1" applyBorder="1" applyAlignment="1">
      <alignment horizontal="center"/>
    </xf>
    <xf numFmtId="173" fontId="0" fillId="9" borderId="12" xfId="0" applyNumberFormat="1" applyFill="1" applyBorder="1" applyAlignment="1">
      <alignment horizontal="center"/>
    </xf>
    <xf numFmtId="173" fontId="0" fillId="0" borderId="24"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right" vertical="center"/>
    </xf>
    <xf numFmtId="0" fontId="0" fillId="0" borderId="26" xfId="0" applyBorder="1" applyAlignment="1">
      <alignment horizontal="center"/>
    </xf>
    <xf numFmtId="0" fontId="29" fillId="8" borderId="17" xfId="0" applyFont="1" applyFill="1" applyBorder="1" applyAlignment="1">
      <alignment horizontal="center" vertical="center"/>
    </xf>
    <xf numFmtId="168" fontId="0" fillId="0" borderId="0" xfId="0" quotePrefix="1" applyNumberFormat="1" applyAlignment="1">
      <alignment horizontal="center" vertical="center"/>
    </xf>
    <xf numFmtId="167" fontId="0" fillId="0" borderId="0" xfId="0" quotePrefix="1" applyNumberFormat="1" applyAlignment="1">
      <alignment horizontal="center" vertical="center"/>
    </xf>
    <xf numFmtId="0" fontId="0" fillId="0" borderId="0" xfId="0" applyAlignment="1">
      <alignment horizontal="right" vertical="center" indent="1"/>
    </xf>
    <xf numFmtId="166" fontId="15" fillId="6" borderId="0" xfId="0" applyNumberFormat="1" applyFont="1" applyFill="1" applyAlignment="1">
      <alignment horizontal="center" vertical="center"/>
    </xf>
    <xf numFmtId="0" fontId="15" fillId="0" borderId="0" xfId="0" applyFont="1" applyAlignment="1">
      <alignment vertical="top" wrapText="1"/>
    </xf>
    <xf numFmtId="174" fontId="9" fillId="0" borderId="0" xfId="0" applyNumberFormat="1" applyFont="1" applyAlignment="1">
      <alignment horizontal="right" vertical="center"/>
    </xf>
    <xf numFmtId="174" fontId="9" fillId="0" borderId="0" xfId="0" applyNumberFormat="1" applyFont="1" applyAlignment="1">
      <alignment vertical="center"/>
    </xf>
    <xf numFmtId="0" fontId="3" fillId="0" borderId="0" xfId="0" quotePrefix="1" applyFont="1" applyAlignment="1">
      <alignment vertical="center"/>
    </xf>
    <xf numFmtId="0" fontId="28" fillId="0" borderId="0" xfId="0" applyFont="1" applyAlignment="1">
      <alignment horizontal="right" vertical="center"/>
    </xf>
    <xf numFmtId="0" fontId="3" fillId="0" borderId="1" xfId="0" applyFont="1" applyBorder="1" applyAlignment="1" applyProtection="1">
      <alignment vertical="center"/>
      <protection locked="0"/>
    </xf>
    <xf numFmtId="0" fontId="3" fillId="0" borderId="27" xfId="0" applyFont="1" applyBorder="1" applyAlignment="1">
      <alignment vertical="center"/>
    </xf>
    <xf numFmtId="0" fontId="0" fillId="0" borderId="11" xfId="0" applyBorder="1" applyAlignment="1" applyProtection="1">
      <alignment horizontal="center" vertical="center"/>
      <protection locked="0"/>
    </xf>
    <xf numFmtId="0" fontId="0" fillId="0" borderId="11" xfId="0" applyBorder="1" applyAlignment="1">
      <alignment horizontal="center" vertical="center"/>
    </xf>
    <xf numFmtId="167" fontId="0" fillId="0" borderId="0" xfId="0" applyNumberFormat="1" applyAlignment="1">
      <alignment horizontal="center" vertical="center"/>
    </xf>
    <xf numFmtId="0" fontId="0" fillId="0" borderId="0" xfId="0" applyAlignment="1">
      <alignment horizontal="left" vertical="center"/>
    </xf>
    <xf numFmtId="1" fontId="3" fillId="0" borderId="0" xfId="0" applyNumberFormat="1" applyFont="1" applyAlignment="1">
      <alignment horizontal="right" vertical="center"/>
    </xf>
    <xf numFmtId="168" fontId="15" fillId="0" borderId="0" xfId="0" applyNumberFormat="1" applyFont="1" applyAlignment="1">
      <alignment vertical="center"/>
    </xf>
    <xf numFmtId="0" fontId="28" fillId="0" borderId="0" xfId="0" applyFont="1" applyAlignment="1">
      <alignment vertical="center" wrapText="1"/>
    </xf>
    <xf numFmtId="0" fontId="29" fillId="8" borderId="18" xfId="0" applyFont="1" applyFill="1" applyBorder="1" applyAlignment="1">
      <alignment horizontal="center" vertical="center"/>
    </xf>
    <xf numFmtId="0" fontId="29" fillId="8" borderId="19" xfId="0" applyFont="1" applyFill="1" applyBorder="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top" wrapText="1"/>
    </xf>
    <xf numFmtId="4" fontId="3" fillId="0" borderId="2" xfId="0" applyNumberFormat="1" applyFont="1" applyBorder="1" applyAlignment="1" applyProtection="1">
      <alignment horizontal="right" vertical="center"/>
      <protection locked="0"/>
    </xf>
    <xf numFmtId="0" fontId="2" fillId="0" borderId="0" xfId="0" applyFont="1" applyAlignment="1">
      <alignment horizontal="center" vertical="center" wrapText="1"/>
    </xf>
    <xf numFmtId="0" fontId="3" fillId="6" borderId="14" xfId="0" applyFont="1" applyFill="1" applyBorder="1" applyAlignment="1">
      <alignment horizontal="left" vertical="center"/>
    </xf>
    <xf numFmtId="0" fontId="3" fillId="6" borderId="15" xfId="0" applyFont="1" applyFill="1" applyBorder="1" applyAlignment="1">
      <alignment horizontal="left" vertical="center"/>
    </xf>
    <xf numFmtId="2" fontId="3" fillId="0" borderId="2" xfId="0" applyNumberFormat="1" applyFont="1" applyBorder="1" applyAlignment="1" applyProtection="1">
      <alignment horizontal="right" vertical="center"/>
      <protection locked="0"/>
    </xf>
    <xf numFmtId="0" fontId="3" fillId="0" borderId="1" xfId="0" applyFont="1" applyBorder="1" applyAlignment="1" applyProtection="1">
      <alignment horizontal="left" vertical="center"/>
      <protection locked="0"/>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left" vertical="center"/>
    </xf>
    <xf numFmtId="172" fontId="3" fillId="0" borderId="1" xfId="0" applyNumberFormat="1" applyFont="1" applyBorder="1" applyAlignment="1" applyProtection="1">
      <alignment horizontal="center" vertical="center"/>
      <protection locked="0"/>
    </xf>
    <xf numFmtId="3" fontId="3" fillId="0" borderId="2" xfId="0" applyNumberFormat="1" applyFont="1" applyBorder="1" applyAlignment="1" applyProtection="1">
      <alignment horizontal="right" vertical="center"/>
      <protection locked="0"/>
    </xf>
    <xf numFmtId="2" fontId="3"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hidden="1"/>
    </xf>
    <xf numFmtId="2" fontId="3" fillId="0" borderId="0" xfId="0" applyNumberFormat="1" applyFont="1" applyAlignment="1">
      <alignment horizontal="right" vertical="center"/>
    </xf>
    <xf numFmtId="167" fontId="18" fillId="0" borderId="0" xfId="0" applyNumberFormat="1"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3" fontId="3" fillId="0" borderId="2" xfId="0" applyNumberFormat="1" applyFont="1" applyBorder="1" applyAlignment="1" applyProtection="1">
      <alignment horizontal="right" vertical="center"/>
      <protection hidden="1"/>
    </xf>
    <xf numFmtId="0" fontId="3" fillId="6" borderId="14" xfId="0" applyFont="1" applyFill="1" applyBorder="1" applyAlignment="1">
      <alignment horizontal="center" vertical="center"/>
    </xf>
    <xf numFmtId="0" fontId="3" fillId="6" borderId="15" xfId="0" applyFont="1" applyFill="1" applyBorder="1" applyAlignment="1">
      <alignment horizontal="center" vertical="center"/>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165" fontId="3" fillId="0" borderId="1" xfId="0" applyNumberFormat="1" applyFont="1" applyBorder="1" applyAlignment="1" applyProtection="1">
      <alignment horizontal="right" vertical="center"/>
      <protection locked="0"/>
    </xf>
    <xf numFmtId="175" fontId="3" fillId="0" borderId="1" xfId="0" applyNumberFormat="1" applyFont="1" applyBorder="1" applyAlignment="1" applyProtection="1">
      <alignment horizontal="right" vertical="center"/>
      <protection locked="0"/>
    </xf>
    <xf numFmtId="3" fontId="3" fillId="0" borderId="1" xfId="0" applyNumberFormat="1" applyFont="1" applyBorder="1" applyAlignment="1" applyProtection="1">
      <alignment horizontal="right" vertical="center"/>
      <protection locked="0"/>
    </xf>
    <xf numFmtId="0" fontId="3" fillId="0" borderId="2" xfId="0" applyFont="1" applyBorder="1" applyAlignment="1" applyProtection="1">
      <alignment horizontal="center" vertical="center"/>
      <protection hidden="1"/>
    </xf>
    <xf numFmtId="164" fontId="3" fillId="0" borderId="1" xfId="0" applyNumberFormat="1" applyFont="1" applyBorder="1" applyAlignment="1" applyProtection="1">
      <alignment horizontal="center" vertical="center"/>
      <protection hidden="1"/>
    </xf>
    <xf numFmtId="0" fontId="3" fillId="0" borderId="0" xfId="0" applyFont="1" applyAlignment="1">
      <alignment horizontal="right" vertical="center"/>
    </xf>
    <xf numFmtId="4" fontId="3" fillId="0" borderId="1" xfId="0" applyNumberFormat="1" applyFont="1" applyBorder="1" applyAlignment="1" applyProtection="1">
      <alignment horizontal="right" vertical="center"/>
      <protection hidden="1"/>
    </xf>
    <xf numFmtId="4" fontId="3" fillId="0" borderId="4" xfId="0" applyNumberFormat="1" applyFont="1" applyBorder="1" applyAlignment="1" applyProtection="1">
      <alignment horizontal="right" vertical="center"/>
      <protection locked="0"/>
    </xf>
    <xf numFmtId="1" fontId="3" fillId="0" borderId="1" xfId="0" applyNumberFormat="1" applyFont="1" applyBorder="1" applyAlignment="1" applyProtection="1">
      <alignment horizontal="right" vertical="center"/>
      <protection locked="0"/>
    </xf>
    <xf numFmtId="171" fontId="3" fillId="0" borderId="1" xfId="0" applyNumberFormat="1" applyFont="1" applyBorder="1" applyAlignment="1" applyProtection="1">
      <alignment horizontal="right" vertical="center"/>
      <protection hidden="1"/>
    </xf>
    <xf numFmtId="4" fontId="3" fillId="0" borderId="1" xfId="0" quotePrefix="1"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lignment horizontal="center" vertical="center"/>
    </xf>
    <xf numFmtId="0" fontId="3" fillId="0" borderId="2" xfId="0" applyFont="1" applyBorder="1" applyAlignment="1" applyProtection="1">
      <alignment horizontal="left" vertical="center"/>
      <protection locked="0"/>
    </xf>
    <xf numFmtId="0" fontId="21" fillId="0" borderId="1" xfId="1" applyFont="1" applyBorder="1" applyAlignment="1" applyProtection="1">
      <alignment horizontal="left" vertical="center"/>
      <protection locked="0"/>
    </xf>
    <xf numFmtId="169" fontId="3" fillId="0" borderId="2" xfId="0" applyNumberFormat="1" applyFont="1" applyBorder="1" applyAlignment="1" applyProtection="1">
      <alignment horizontal="left" vertical="center"/>
      <protection locked="0"/>
    </xf>
    <xf numFmtId="0" fontId="3" fillId="0" borderId="0" xfId="0" applyFont="1" applyAlignment="1">
      <alignment horizontal="center" vertical="center" textRotation="90" wrapText="1"/>
    </xf>
    <xf numFmtId="0" fontId="14" fillId="0" borderId="0" xfId="0" applyFont="1" applyAlignment="1">
      <alignment horizontal="left" vertical="center"/>
    </xf>
    <xf numFmtId="0" fontId="3" fillId="0" borderId="1" xfId="0" applyFont="1" applyBorder="1" applyAlignment="1" applyProtection="1">
      <alignment vertical="center"/>
      <protection locked="0"/>
    </xf>
    <xf numFmtId="0" fontId="3" fillId="0" borderId="0" xfId="0" applyFont="1" applyAlignment="1" applyProtection="1">
      <alignment horizontal="right" vertical="center"/>
      <protection locked="0"/>
    </xf>
    <xf numFmtId="172" fontId="3" fillId="0" borderId="1" xfId="0" applyNumberFormat="1" applyFont="1" applyBorder="1" applyAlignment="1">
      <alignment horizontal="center" vertical="center"/>
    </xf>
    <xf numFmtId="2" fontId="3" fillId="0" borderId="1" xfId="0" applyNumberFormat="1" applyFont="1" applyBorder="1" applyAlignment="1">
      <alignment horizontal="right" vertical="center"/>
    </xf>
    <xf numFmtId="2" fontId="3" fillId="0" borderId="2" xfId="0" applyNumberFormat="1" applyFont="1" applyBorder="1" applyAlignment="1">
      <alignment horizontal="right" vertical="center"/>
    </xf>
    <xf numFmtId="3" fontId="3" fillId="0" borderId="1" xfId="0" applyNumberFormat="1" applyFont="1" applyBorder="1" applyAlignment="1">
      <alignment horizontal="right" vertical="center"/>
    </xf>
    <xf numFmtId="0" fontId="9" fillId="3" borderId="0" xfId="0" applyFont="1" applyFill="1" applyAlignment="1">
      <alignment horizontal="left" vertical="center"/>
    </xf>
    <xf numFmtId="0" fontId="3" fillId="0" borderId="1" xfId="0" applyFont="1" applyBorder="1" applyAlignment="1">
      <alignment horizontal="left" vertical="center"/>
    </xf>
    <xf numFmtId="3" fontId="3" fillId="0" borderId="2" xfId="0" applyNumberFormat="1" applyFont="1" applyBorder="1" applyAlignment="1">
      <alignment horizontal="righ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1" fontId="3" fillId="0" borderId="1" xfId="0" applyNumberFormat="1" applyFont="1" applyBorder="1" applyAlignment="1">
      <alignment horizontal="right" vertical="center"/>
    </xf>
    <xf numFmtId="165" fontId="3" fillId="0" borderId="1" xfId="0" applyNumberFormat="1" applyFont="1" applyBorder="1" applyAlignment="1" applyProtection="1">
      <alignment horizontal="right" vertical="center"/>
      <protection hidden="1"/>
    </xf>
    <xf numFmtId="165" fontId="3" fillId="0" borderId="2" xfId="0" applyNumberFormat="1" applyFont="1" applyBorder="1" applyAlignment="1" applyProtection="1">
      <alignment horizontal="right" vertical="center"/>
      <protection hidden="1"/>
    </xf>
    <xf numFmtId="4" fontId="3" fillId="0" borderId="1" xfId="0" applyNumberFormat="1" applyFont="1" applyBorder="1" applyAlignment="1">
      <alignment horizontal="right" vertical="center"/>
    </xf>
    <xf numFmtId="4" fontId="3" fillId="0" borderId="2" xfId="0" applyNumberFormat="1" applyFont="1" applyBorder="1" applyAlignment="1">
      <alignment horizontal="right" vertical="center"/>
    </xf>
    <xf numFmtId="1" fontId="3" fillId="0" borderId="2" xfId="0" applyNumberFormat="1" applyFont="1" applyBorder="1" applyAlignment="1" applyProtection="1">
      <alignment horizontal="center" vertical="center"/>
      <protection hidden="1"/>
    </xf>
    <xf numFmtId="0" fontId="18" fillId="0" borderId="0" xfId="0" applyFont="1" applyAlignment="1">
      <alignment horizontal="center" vertical="center" wrapText="1"/>
    </xf>
    <xf numFmtId="0" fontId="11" fillId="0" borderId="2" xfId="1" applyBorder="1" applyAlignment="1" applyProtection="1">
      <alignment horizontal="left" vertical="center"/>
      <protection locked="0"/>
    </xf>
    <xf numFmtId="3" fontId="3" fillId="0" borderId="1" xfId="0" applyNumberFormat="1" applyFont="1" applyBorder="1" applyAlignment="1" applyProtection="1">
      <alignment horizontal="right" vertical="center"/>
      <protection hidden="1"/>
    </xf>
    <xf numFmtId="0" fontId="9" fillId="4" borderId="0" xfId="0" applyFont="1" applyFill="1" applyAlignment="1">
      <alignment horizontal="left" vertical="center"/>
    </xf>
    <xf numFmtId="164" fontId="3" fillId="0" borderId="2"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protection hidden="1"/>
    </xf>
    <xf numFmtId="169" fontId="3" fillId="0" borderId="1" xfId="0" applyNumberFormat="1" applyFont="1" applyBorder="1" applyAlignment="1" applyProtection="1">
      <alignment horizontal="center" vertical="center"/>
      <protection locked="0"/>
    </xf>
    <xf numFmtId="170" fontId="3" fillId="0" borderId="1" xfId="0" applyNumberFormat="1" applyFont="1" applyBorder="1" applyAlignment="1" applyProtection="1">
      <alignment horizontal="center" vertical="center"/>
      <protection locked="0"/>
    </xf>
    <xf numFmtId="0" fontId="3" fillId="4" borderId="0" xfId="0" applyFont="1" applyFill="1" applyAlignment="1">
      <alignment horizontal="left" vertical="center" wrapText="1"/>
    </xf>
    <xf numFmtId="0" fontId="3" fillId="4" borderId="8" xfId="0" applyFont="1" applyFill="1" applyBorder="1" applyAlignment="1">
      <alignment horizontal="left" vertical="center" wrapText="1"/>
    </xf>
    <xf numFmtId="164" fontId="3" fillId="3" borderId="2" xfId="0" applyNumberFormat="1" applyFont="1" applyFill="1" applyBorder="1" applyAlignment="1">
      <alignment horizontal="left" vertical="center"/>
    </xf>
    <xf numFmtId="0" fontId="3" fillId="0" borderId="0" xfId="0" applyFont="1" applyAlignment="1">
      <alignment horizontal="left" vertical="top" wrapText="1"/>
    </xf>
    <xf numFmtId="175" fontId="3" fillId="0" borderId="2" xfId="0" applyNumberFormat="1" applyFont="1" applyBorder="1" applyAlignment="1" applyProtection="1">
      <alignment horizontal="right" vertical="center"/>
      <protection locked="0"/>
    </xf>
  </cellXfs>
  <cellStyles count="2">
    <cellStyle name="Hyperlink" xfId="1" builtinId="8"/>
    <cellStyle name="Normal" xfId="0" builtinId="0"/>
  </cellStyles>
  <dxfs count="310">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numFmt numFmtId="171" formatCode="#,##0.0000"/>
    </dxf>
    <dxf>
      <numFmt numFmtId="3" formatCode="#,##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numFmt numFmtId="171" formatCode="#,##0.0000"/>
    </dxf>
    <dxf>
      <fill>
        <patternFill>
          <bgColor theme="5" tint="0.59996337778862885"/>
        </patternFill>
      </fill>
    </dxf>
    <dxf>
      <numFmt numFmtId="3" formatCode="#,##0"/>
    </dxf>
    <dxf>
      <fill>
        <patternFill>
          <bgColor theme="7" tint="0.59996337778862885"/>
        </patternFill>
      </fill>
    </dxf>
    <dxf>
      <fill>
        <patternFill>
          <bgColor theme="7" tint="0.59996337778862885"/>
        </patternFill>
      </fill>
    </dxf>
    <dxf>
      <fill>
        <patternFill>
          <bgColor theme="9" tint="0.59996337778862885"/>
        </patternFill>
      </fill>
    </dxf>
    <dxf>
      <border>
        <bottom style="thin">
          <color auto="1"/>
        </bottom>
        <vertical/>
        <horizontal/>
      </border>
    </dxf>
    <dxf>
      <fill>
        <patternFill>
          <bgColor theme="7"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1" formatCode="#,##0.0000"/>
    </dxf>
    <dxf>
      <numFmt numFmtId="3" formatCode="#,##0"/>
    </dxf>
    <dxf>
      <fill>
        <patternFill>
          <bgColor theme="9" tint="0.59996337778862885"/>
        </patternFill>
      </fill>
    </dxf>
    <dxf>
      <numFmt numFmtId="171" formatCode="#,##0.0000"/>
    </dxf>
    <dxf>
      <numFmt numFmtId="3" formatCode="#,##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171" formatCode="#,##0.000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7</xdr:col>
      <xdr:colOff>140654</xdr:colOff>
      <xdr:row>45</xdr:row>
      <xdr:rowOff>56862</xdr:rowOff>
    </xdr:from>
    <xdr:to>
      <xdr:col>7</xdr:col>
      <xdr:colOff>990919</xdr:colOff>
      <xdr:row>45</xdr:row>
      <xdr:rowOff>780958</xdr:rowOff>
    </xdr:to>
    <xdr:pic>
      <xdr:nvPicPr>
        <xdr:cNvPr id="8" name="Picture 7">
          <a:extLst>
            <a:ext uri="{FF2B5EF4-FFF2-40B4-BE49-F238E27FC236}">
              <a16:creationId xmlns:a16="http://schemas.microsoft.com/office/drawing/2014/main" id="{9E5A6083-065B-4883-98A4-FF8269904F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026854" y="9543762"/>
          <a:ext cx="850265" cy="727906"/>
        </a:xfrm>
        <a:prstGeom prst="rect">
          <a:avLst/>
        </a:prstGeom>
        <a:noFill/>
        <a:ln>
          <a:noFill/>
        </a:ln>
      </xdr:spPr>
    </xdr:pic>
    <xdr:clientData/>
  </xdr:twoCellAnchor>
  <xdr:twoCellAnchor editAs="oneCell">
    <xdr:from>
      <xdr:col>5</xdr:col>
      <xdr:colOff>4730</xdr:colOff>
      <xdr:row>44</xdr:row>
      <xdr:rowOff>15240</xdr:rowOff>
    </xdr:from>
    <xdr:to>
      <xdr:col>5</xdr:col>
      <xdr:colOff>1050290</xdr:colOff>
      <xdr:row>45</xdr:row>
      <xdr:rowOff>1160</xdr:rowOff>
    </xdr:to>
    <xdr:pic>
      <xdr:nvPicPr>
        <xdr:cNvPr id="9" name="Picture 8">
          <a:extLst>
            <a:ext uri="{FF2B5EF4-FFF2-40B4-BE49-F238E27FC236}">
              <a16:creationId xmlns:a16="http://schemas.microsoft.com/office/drawing/2014/main" id="{BDB2911C-42BD-42F0-BEA7-7CF4BFC71A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908" b="8402"/>
        <a:stretch>
          <a:fillRect/>
        </a:stretch>
      </xdr:blipFill>
      <xdr:spPr bwMode="auto">
        <a:xfrm>
          <a:off x="5948330" y="11303000"/>
          <a:ext cx="1041750" cy="797450"/>
        </a:xfrm>
        <a:prstGeom prst="rect">
          <a:avLst/>
        </a:prstGeom>
        <a:noFill/>
        <a:ln>
          <a:noFill/>
        </a:ln>
      </xdr:spPr>
    </xdr:pic>
    <xdr:clientData/>
  </xdr:twoCellAnchor>
  <xdr:twoCellAnchor editAs="oneCell">
    <xdr:from>
      <xdr:col>5</xdr:col>
      <xdr:colOff>13476</xdr:colOff>
      <xdr:row>40</xdr:row>
      <xdr:rowOff>39219</xdr:rowOff>
    </xdr:from>
    <xdr:to>
      <xdr:col>5</xdr:col>
      <xdr:colOff>802639</xdr:colOff>
      <xdr:row>41</xdr:row>
      <xdr:rowOff>247</xdr:rowOff>
    </xdr:to>
    <xdr:pic>
      <xdr:nvPicPr>
        <xdr:cNvPr id="10" name="Picture 9">
          <a:extLst>
            <a:ext uri="{FF2B5EF4-FFF2-40B4-BE49-F238E27FC236}">
              <a16:creationId xmlns:a16="http://schemas.microsoft.com/office/drawing/2014/main" id="{EC2F9CB9-4AFF-477A-965D-E8EC155A044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57076" y="8035139"/>
          <a:ext cx="789163" cy="783988"/>
        </a:xfrm>
        <a:prstGeom prst="rect">
          <a:avLst/>
        </a:prstGeom>
        <a:ln>
          <a:noFill/>
        </a:ln>
      </xdr:spPr>
    </xdr:pic>
    <xdr:clientData/>
  </xdr:twoCellAnchor>
  <xdr:twoCellAnchor editAs="oneCell">
    <xdr:from>
      <xdr:col>5</xdr:col>
      <xdr:colOff>17746</xdr:colOff>
      <xdr:row>43</xdr:row>
      <xdr:rowOff>17124</xdr:rowOff>
    </xdr:from>
    <xdr:to>
      <xdr:col>5</xdr:col>
      <xdr:colOff>974089</xdr:colOff>
      <xdr:row>44</xdr:row>
      <xdr:rowOff>1422</xdr:rowOff>
    </xdr:to>
    <xdr:pic>
      <xdr:nvPicPr>
        <xdr:cNvPr id="11" name="Picture 10">
          <a:extLst>
            <a:ext uri="{FF2B5EF4-FFF2-40B4-BE49-F238E27FC236}">
              <a16:creationId xmlns:a16="http://schemas.microsoft.com/office/drawing/2014/main" id="{8DCF04AF-399C-494B-BFD2-1ABBA47859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961346" y="10481924"/>
          <a:ext cx="952533" cy="803448"/>
        </a:xfrm>
        <a:prstGeom prst="rect">
          <a:avLst/>
        </a:prstGeom>
        <a:noFill/>
        <a:ln>
          <a:noFill/>
        </a:ln>
      </xdr:spPr>
    </xdr:pic>
    <xdr:clientData/>
  </xdr:twoCellAnchor>
  <xdr:twoCellAnchor editAs="oneCell">
    <xdr:from>
      <xdr:col>5</xdr:col>
      <xdr:colOff>14094</xdr:colOff>
      <xdr:row>41</xdr:row>
      <xdr:rowOff>6408</xdr:rowOff>
    </xdr:from>
    <xdr:to>
      <xdr:col>5</xdr:col>
      <xdr:colOff>816610</xdr:colOff>
      <xdr:row>42</xdr:row>
      <xdr:rowOff>1374</xdr:rowOff>
    </xdr:to>
    <xdr:pic>
      <xdr:nvPicPr>
        <xdr:cNvPr id="12" name="Picture 11" descr="Logo&#10;&#10;Description automatically generated">
          <a:extLst>
            <a:ext uri="{FF2B5EF4-FFF2-40B4-BE49-F238E27FC236}">
              <a16:creationId xmlns:a16="http://schemas.microsoft.com/office/drawing/2014/main" id="{3288FCE9-D892-4E18-A570-403B94F534D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957694" y="8825288"/>
          <a:ext cx="798706" cy="804591"/>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7</xdr:col>
          <xdr:colOff>1714500</xdr:colOff>
          <xdr:row>40</xdr:row>
          <xdr:rowOff>0</xdr:rowOff>
        </xdr:to>
        <xdr:pic>
          <xdr:nvPicPr>
            <xdr:cNvPr id="3" name="Picture 2">
              <a:extLst>
                <a:ext uri="{FF2B5EF4-FFF2-40B4-BE49-F238E27FC236}">
                  <a16:creationId xmlns:a16="http://schemas.microsoft.com/office/drawing/2014/main" id="{E8A77AB6-53EB-4B82-B86B-B2C010F0A777}"/>
                </a:ext>
              </a:extLst>
            </xdr:cNvPr>
            <xdr:cNvPicPr>
              <a:picLocks noChangeAspect="1"/>
              <a:extLst>
                <a:ext uri="{84589F7E-364E-4C9E-8A38-B11213B215E9}">
                  <a14:cameraTool cellRange="Logo" spid="_x0000_s1877"/>
                </a:ext>
              </a:extLst>
            </xdr:cNvPicPr>
          </xdr:nvPicPr>
          <xdr:blipFill>
            <a:blip xmlns:r="http://schemas.openxmlformats.org/officeDocument/2006/relationships" r:embed="rId6"/>
            <a:stretch>
              <a:fillRect/>
            </a:stretch>
          </xdr:blipFill>
          <xdr:spPr>
            <a:xfrm>
              <a:off x="7962900" y="7105650"/>
              <a:ext cx="1714500" cy="819150"/>
            </a:xfrm>
            <a:prstGeom prst="rect">
              <a:avLst/>
            </a:prstGeom>
            <a:ln>
              <a:noFill/>
            </a:ln>
          </xdr:spPr>
        </xdr:pic>
        <xdr:clientData/>
      </xdr:twoCellAnchor>
    </mc:Choice>
    <mc:Fallback/>
  </mc:AlternateContent>
  <xdr:twoCellAnchor editAs="oneCell">
    <xdr:from>
      <xdr:col>5</xdr:col>
      <xdr:colOff>7620</xdr:colOff>
      <xdr:row>45</xdr:row>
      <xdr:rowOff>160020</xdr:rowOff>
    </xdr:from>
    <xdr:to>
      <xdr:col>5</xdr:col>
      <xdr:colOff>1355131</xdr:colOff>
      <xdr:row>45</xdr:row>
      <xdr:rowOff>663508</xdr:rowOff>
    </xdr:to>
    <xdr:pic>
      <xdr:nvPicPr>
        <xdr:cNvPr id="7" name="Picture 6">
          <a:extLst>
            <a:ext uri="{FF2B5EF4-FFF2-40B4-BE49-F238E27FC236}">
              <a16:creationId xmlns:a16="http://schemas.microsoft.com/office/drawing/2014/main" id="{6D311F4B-04F9-4B6A-A50B-ACA22C59F34B}"/>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951220" y="12270740"/>
          <a:ext cx="1343701" cy="507298"/>
        </a:xfrm>
        <a:prstGeom prst="rect">
          <a:avLst/>
        </a:prstGeom>
      </xdr:spPr>
    </xdr:pic>
    <xdr:clientData/>
  </xdr:twoCellAnchor>
  <xdr:twoCellAnchor editAs="oneCell">
    <xdr:from>
      <xdr:col>5</xdr:col>
      <xdr:colOff>17780</xdr:colOff>
      <xdr:row>38</xdr:row>
      <xdr:rowOff>170180</xdr:rowOff>
    </xdr:from>
    <xdr:to>
      <xdr:col>5</xdr:col>
      <xdr:colOff>897890</xdr:colOff>
      <xdr:row>40</xdr:row>
      <xdr:rowOff>37254</xdr:rowOff>
    </xdr:to>
    <xdr:pic>
      <xdr:nvPicPr>
        <xdr:cNvPr id="2" name="Picture 1">
          <a:extLst>
            <a:ext uri="{FF2B5EF4-FFF2-40B4-BE49-F238E27FC236}">
              <a16:creationId xmlns:a16="http://schemas.microsoft.com/office/drawing/2014/main" id="{FDEFDE82-2959-4B3A-B34F-0029293486E5}"/>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961380" y="7160260"/>
          <a:ext cx="876300" cy="872914"/>
        </a:xfrm>
        <a:prstGeom prst="rect">
          <a:avLst/>
        </a:prstGeom>
        <a:noFill/>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7</xdr:col>
          <xdr:colOff>0</xdr:colOff>
          <xdr:row>38</xdr:row>
          <xdr:rowOff>173579</xdr:rowOff>
        </xdr:from>
        <xdr:to>
          <xdr:col>7</xdr:col>
          <xdr:colOff>1714500</xdr:colOff>
          <xdr:row>40</xdr:row>
          <xdr:rowOff>224</xdr:rowOff>
        </xdr:to>
        <xdr:pic>
          <xdr:nvPicPr>
            <xdr:cNvPr id="4" name="Picture 3">
              <a:extLst>
                <a:ext uri="{FF2B5EF4-FFF2-40B4-BE49-F238E27FC236}">
                  <a16:creationId xmlns:a16="http://schemas.microsoft.com/office/drawing/2014/main" id="{129CC7D9-C8D5-47DC-A683-9093CD3B417C}"/>
                </a:ext>
              </a:extLst>
            </xdr:cNvPr>
            <xdr:cNvPicPr>
              <a:picLocks noChangeAspect="1" noChangeArrowheads="1"/>
              <a:extLst>
                <a:ext uri="{84589F7E-364E-4C9E-8A38-B11213B215E9}">
                  <a14:cameraTool cellRange="Logo" spid="_x0000_s1878"/>
                </a:ext>
              </a:extLst>
            </xdr:cNvPicPr>
          </xdr:nvPicPr>
          <xdr:blipFill>
            <a:blip xmlns:r="http://schemas.openxmlformats.org/officeDocument/2006/relationships" r:embed="rId6"/>
            <a:srcRect/>
            <a:stretch>
              <a:fillRect/>
            </a:stretch>
          </xdr:blipFill>
          <xdr:spPr bwMode="auto">
            <a:xfrm>
              <a:off x="7962900" y="7098254"/>
              <a:ext cx="171450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32</xdr:col>
      <xdr:colOff>21590</xdr:colOff>
      <xdr:row>52</xdr:row>
      <xdr:rowOff>82550</xdr:rowOff>
    </xdr:from>
    <xdr:ext cx="712568" cy="259080"/>
    <xdr:pic>
      <xdr:nvPicPr>
        <xdr:cNvPr id="4" name="Picture 3">
          <a:extLst>
            <a:ext uri="{FF2B5EF4-FFF2-40B4-BE49-F238E27FC236}">
              <a16:creationId xmlns:a16="http://schemas.microsoft.com/office/drawing/2014/main" id="{C355CB50-6C6C-4EEB-9328-B367DEF2F5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4090" y="8502650"/>
          <a:ext cx="712568" cy="259080"/>
        </a:xfrm>
        <a:prstGeom prst="rect">
          <a:avLst/>
        </a:prstGeom>
      </xdr:spPr>
    </xdr:pic>
    <xdr:clientData/>
  </xdr:oneCellAnchor>
  <xdr:oneCellAnchor>
    <xdr:from>
      <xdr:col>32</xdr:col>
      <xdr:colOff>55880</xdr:colOff>
      <xdr:row>104</xdr:row>
      <xdr:rowOff>91440</xdr:rowOff>
    </xdr:from>
    <xdr:ext cx="712568" cy="259080"/>
    <xdr:pic>
      <xdr:nvPicPr>
        <xdr:cNvPr id="5" name="Picture 4">
          <a:extLst>
            <a:ext uri="{FF2B5EF4-FFF2-40B4-BE49-F238E27FC236}">
              <a16:creationId xmlns:a16="http://schemas.microsoft.com/office/drawing/2014/main" id="{7849E525-F68B-4A32-BD7E-931CC7888E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0000" y="9180129"/>
          <a:ext cx="712568" cy="259080"/>
        </a:xfrm>
        <a:prstGeom prst="rect">
          <a:avLst/>
        </a:prstGeom>
      </xdr:spPr>
    </xdr:pic>
    <xdr:clientData/>
  </xdr:oneCellAnchor>
  <xdr:oneCellAnchor>
    <xdr:from>
      <xdr:col>31</xdr:col>
      <xdr:colOff>167640</xdr:colOff>
      <xdr:row>149</xdr:row>
      <xdr:rowOff>38100</xdr:rowOff>
    </xdr:from>
    <xdr:ext cx="712568" cy="259080"/>
    <xdr:pic>
      <xdr:nvPicPr>
        <xdr:cNvPr id="6" name="Picture 5">
          <a:extLst>
            <a:ext uri="{FF2B5EF4-FFF2-40B4-BE49-F238E27FC236}">
              <a16:creationId xmlns:a16="http://schemas.microsoft.com/office/drawing/2014/main" id="{9FD6802B-404A-4995-8106-881EB59254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9640" y="254889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8</xdr:col>
          <xdr:colOff>131446</xdr:colOff>
          <xdr:row>4</xdr:row>
          <xdr:rowOff>16378</xdr:rowOff>
        </xdr:to>
        <xdr:pic>
          <xdr:nvPicPr>
            <xdr:cNvPr id="7" name="Picture 6">
              <a:extLst>
                <a:ext uri="{FF2B5EF4-FFF2-40B4-BE49-F238E27FC236}">
                  <a16:creationId xmlns:a16="http://schemas.microsoft.com/office/drawing/2014/main" id="{00AAE24E-932B-B08A-98B0-E220BF1080BA}"/>
                </a:ext>
              </a:extLst>
            </xdr:cNvPr>
            <xdr:cNvPicPr>
              <a:picLocks noChangeAspect="1" noChangeArrowheads="1"/>
              <a:extLst>
                <a:ext uri="{84589F7E-364E-4C9E-8A38-B11213B215E9}">
                  <a14:cameraTool cellRange="Logo" spid="_x0000_s10504"/>
                </a:ext>
              </a:extLst>
            </xdr:cNvPicPr>
          </xdr:nvPicPr>
          <xdr:blipFill>
            <a:blip xmlns:r="http://schemas.openxmlformats.org/officeDocument/2006/relationships" r:embed="rId2"/>
            <a:srcRect/>
            <a:stretch>
              <a:fillRect/>
            </a:stretch>
          </xdr:blipFill>
          <xdr:spPr bwMode="auto">
            <a:xfrm>
              <a:off x="1" y="0"/>
              <a:ext cx="1593850" cy="76694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xdr:colOff>
          <xdr:row>0</xdr:row>
          <xdr:rowOff>0</xdr:rowOff>
        </xdr:from>
        <xdr:to>
          <xdr:col>54</xdr:col>
          <xdr:colOff>173991</xdr:colOff>
          <xdr:row>3</xdr:row>
          <xdr:rowOff>169765</xdr:rowOff>
        </xdr:to>
        <xdr:pic>
          <xdr:nvPicPr>
            <xdr:cNvPr id="8" name="Picture 7">
              <a:extLst>
                <a:ext uri="{FF2B5EF4-FFF2-40B4-BE49-F238E27FC236}">
                  <a16:creationId xmlns:a16="http://schemas.microsoft.com/office/drawing/2014/main" id="{DD3CF302-0D13-C83A-1EF9-FC0D6BB410FE}"/>
                </a:ext>
              </a:extLst>
            </xdr:cNvPr>
            <xdr:cNvPicPr>
              <a:picLocks noChangeAspect="1" noChangeArrowheads="1"/>
              <a:extLst>
                <a:ext uri="{84589F7E-364E-4C9E-8A38-B11213B215E9}">
                  <a14:cameraTool cellRange="Logo" spid="_x0000_s10505"/>
                </a:ext>
              </a:extLst>
            </xdr:cNvPicPr>
          </xdr:nvPicPr>
          <xdr:blipFill>
            <a:blip xmlns:r="http://schemas.openxmlformats.org/officeDocument/2006/relationships" r:embed="rId2"/>
            <a:srcRect/>
            <a:stretch>
              <a:fillRect/>
            </a:stretch>
          </xdr:blipFill>
          <xdr:spPr bwMode="auto">
            <a:xfrm>
              <a:off x="7112001" y="0"/>
              <a:ext cx="1581150" cy="75460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142240</xdr:colOff>
      <xdr:row>246</xdr:row>
      <xdr:rowOff>63500</xdr:rowOff>
    </xdr:from>
    <xdr:ext cx="712568" cy="259080"/>
    <xdr:pic>
      <xdr:nvPicPr>
        <xdr:cNvPr id="2" name="Picture 1">
          <a:extLst>
            <a:ext uri="{FF2B5EF4-FFF2-40B4-BE49-F238E27FC236}">
              <a16:creationId xmlns:a16="http://schemas.microsoft.com/office/drawing/2014/main" id="{A555A92B-916B-4912-8339-99D05B0519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4240" y="42030650"/>
          <a:ext cx="712568" cy="259080"/>
        </a:xfrm>
        <a:prstGeom prst="rect">
          <a:avLst/>
        </a:prstGeom>
      </xdr:spPr>
    </xdr:pic>
    <xdr:clientData/>
  </xdr:oneCellAnchor>
  <xdr:oneCellAnchor>
    <xdr:from>
      <xdr:col>31</xdr:col>
      <xdr:colOff>167640</xdr:colOff>
      <xdr:row>202</xdr:row>
      <xdr:rowOff>38100</xdr:rowOff>
    </xdr:from>
    <xdr:ext cx="712568" cy="259080"/>
    <xdr:pic>
      <xdr:nvPicPr>
        <xdr:cNvPr id="3" name="Picture 2">
          <a:extLst>
            <a:ext uri="{FF2B5EF4-FFF2-40B4-BE49-F238E27FC236}">
              <a16:creationId xmlns:a16="http://schemas.microsoft.com/office/drawing/2014/main" id="{76AFAE54-563B-4F09-AEDB-26F3C0D5CE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3450" y="25374600"/>
          <a:ext cx="712568" cy="2590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33</xdr:col>
      <xdr:colOff>2540</xdr:colOff>
      <xdr:row>50</xdr:row>
      <xdr:rowOff>78105</xdr:rowOff>
    </xdr:from>
    <xdr:ext cx="712568" cy="259080"/>
    <xdr:pic>
      <xdr:nvPicPr>
        <xdr:cNvPr id="6" name="Picture 5">
          <a:extLst>
            <a:ext uri="{FF2B5EF4-FFF2-40B4-BE49-F238E27FC236}">
              <a16:creationId xmlns:a16="http://schemas.microsoft.com/office/drawing/2014/main" id="{598F9883-1F5E-4FA7-8EF0-01A21665A3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9490" y="8752205"/>
          <a:ext cx="712568" cy="259080"/>
        </a:xfrm>
        <a:prstGeom prst="rect">
          <a:avLst/>
        </a:prstGeom>
      </xdr:spPr>
    </xdr:pic>
    <xdr:clientData/>
  </xdr:oneCellAnchor>
  <xdr:oneCellAnchor>
    <xdr:from>
      <xdr:col>32</xdr:col>
      <xdr:colOff>93345</xdr:colOff>
      <xdr:row>95</xdr:row>
      <xdr:rowOff>63500</xdr:rowOff>
    </xdr:from>
    <xdr:ext cx="712568" cy="259080"/>
    <xdr:pic>
      <xdr:nvPicPr>
        <xdr:cNvPr id="7" name="Picture 6">
          <a:extLst>
            <a:ext uri="{FF2B5EF4-FFF2-40B4-BE49-F238E27FC236}">
              <a16:creationId xmlns:a16="http://schemas.microsoft.com/office/drawing/2014/main" id="{A3AAA8B5-EC39-46D5-B0BC-388F53B98B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6145" y="17176750"/>
          <a:ext cx="712568" cy="259080"/>
        </a:xfrm>
        <a:prstGeom prst="rect">
          <a:avLst/>
        </a:prstGeom>
      </xdr:spPr>
    </xdr:pic>
    <xdr:clientData/>
  </xdr:oneCellAnchor>
  <xdr:oneCellAnchor>
    <xdr:from>
      <xdr:col>33</xdr:col>
      <xdr:colOff>6985</xdr:colOff>
      <xdr:row>139</xdr:row>
      <xdr:rowOff>95250</xdr:rowOff>
    </xdr:from>
    <xdr:ext cx="712568" cy="259080"/>
    <xdr:pic>
      <xdr:nvPicPr>
        <xdr:cNvPr id="8" name="Picture 7">
          <a:extLst>
            <a:ext uri="{FF2B5EF4-FFF2-40B4-BE49-F238E27FC236}">
              <a16:creationId xmlns:a16="http://schemas.microsoft.com/office/drawing/2014/main" id="{A1727601-56E6-49A5-8184-99FDCDBCA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3935" y="257429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8</xdr:col>
          <xdr:colOff>98425</xdr:colOff>
          <xdr:row>3</xdr:row>
          <xdr:rowOff>170430</xdr:rowOff>
        </xdr:to>
        <xdr:pic>
          <xdr:nvPicPr>
            <xdr:cNvPr id="13" name="Picture 12">
              <a:extLst>
                <a:ext uri="{FF2B5EF4-FFF2-40B4-BE49-F238E27FC236}">
                  <a16:creationId xmlns:a16="http://schemas.microsoft.com/office/drawing/2014/main" id="{3879FBE3-A02F-9F73-C96D-5EC5FD7A33BC}"/>
                </a:ext>
              </a:extLst>
            </xdr:cNvPr>
            <xdr:cNvPicPr>
              <a:picLocks noChangeAspect="1" noChangeArrowheads="1"/>
              <a:extLst>
                <a:ext uri="{84589F7E-364E-4C9E-8A38-B11213B215E9}">
                  <a14:cameraTool cellRange="Logo" spid="_x0000_s15595"/>
                </a:ext>
              </a:extLst>
            </xdr:cNvPicPr>
          </xdr:nvPicPr>
          <xdr:blipFill>
            <a:blip xmlns:r="http://schemas.openxmlformats.org/officeDocument/2006/relationships" r:embed="rId2"/>
            <a:srcRect/>
            <a:stretch>
              <a:fillRect/>
            </a:stretch>
          </xdr:blipFill>
          <xdr:spPr bwMode="auto">
            <a:xfrm>
              <a:off x="0" y="0"/>
              <a:ext cx="1581150" cy="75717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0</xdr:row>
          <xdr:rowOff>0</xdr:rowOff>
        </xdr:from>
        <xdr:to>
          <xdr:col>54</xdr:col>
          <xdr:colOff>95604</xdr:colOff>
          <xdr:row>4</xdr:row>
          <xdr:rowOff>15875</xdr:rowOff>
        </xdr:to>
        <xdr:pic>
          <xdr:nvPicPr>
            <xdr:cNvPr id="14" name="Picture 13">
              <a:extLst>
                <a:ext uri="{FF2B5EF4-FFF2-40B4-BE49-F238E27FC236}">
                  <a16:creationId xmlns:a16="http://schemas.microsoft.com/office/drawing/2014/main" id="{6F831F27-8A73-7520-A92C-1AB718A94A73}"/>
                </a:ext>
              </a:extLst>
            </xdr:cNvPr>
            <xdr:cNvPicPr>
              <a:picLocks noChangeAspect="1" noChangeArrowheads="1"/>
              <a:extLst>
                <a:ext uri="{84589F7E-364E-4C9E-8A38-B11213B215E9}">
                  <a14:cameraTool cellRange="Logo" spid="_x0000_s15596"/>
                </a:ext>
              </a:extLst>
            </xdr:cNvPicPr>
          </xdr:nvPicPr>
          <xdr:blipFill>
            <a:blip xmlns:r="http://schemas.openxmlformats.org/officeDocument/2006/relationships" r:embed="rId2"/>
            <a:srcRect/>
            <a:stretch>
              <a:fillRect/>
            </a:stretch>
          </xdr:blipFill>
          <xdr:spPr bwMode="auto">
            <a:xfrm>
              <a:off x="7188200" y="0"/>
              <a:ext cx="1608174" cy="76835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33</xdr:col>
      <xdr:colOff>6985</xdr:colOff>
      <xdr:row>235</xdr:row>
      <xdr:rowOff>95250</xdr:rowOff>
    </xdr:from>
    <xdr:ext cx="712568" cy="259080"/>
    <xdr:pic>
      <xdr:nvPicPr>
        <xdr:cNvPr id="2" name="Picture 1">
          <a:extLst>
            <a:ext uri="{FF2B5EF4-FFF2-40B4-BE49-F238E27FC236}">
              <a16:creationId xmlns:a16="http://schemas.microsoft.com/office/drawing/2014/main" id="{8EC787EA-F0D4-400A-8DA8-0F677B5A09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3935" y="33477200"/>
          <a:ext cx="712568" cy="259080"/>
        </a:xfrm>
        <a:prstGeom prst="rect">
          <a:avLst/>
        </a:prstGeom>
      </xdr:spPr>
    </xdr:pic>
    <xdr:clientData/>
  </xdr:oneCellAnchor>
  <xdr:oneCellAnchor>
    <xdr:from>
      <xdr:col>32</xdr:col>
      <xdr:colOff>6985</xdr:colOff>
      <xdr:row>191</xdr:row>
      <xdr:rowOff>95250</xdr:rowOff>
    </xdr:from>
    <xdr:ext cx="712568" cy="259080"/>
    <xdr:pic>
      <xdr:nvPicPr>
        <xdr:cNvPr id="3" name="Picture 2">
          <a:extLst>
            <a:ext uri="{FF2B5EF4-FFF2-40B4-BE49-F238E27FC236}">
              <a16:creationId xmlns:a16="http://schemas.microsoft.com/office/drawing/2014/main" id="{E009A702-ED15-4974-8ADE-E370BAF080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5840" y="37226240"/>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9">
    <sortCondition ref="D2:D9"/>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sortState xmlns:xlrd2="http://schemas.microsoft.com/office/spreadsheetml/2017/richdata2" ref="F2:F10">
    <sortCondition ref="F2:F10"/>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4" totalsRowShown="0">
  <autoFilter ref="H1:H4"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able6" displayName="Table6" ref="J1:J26" totalsRowShown="0">
  <autoFilter ref="J1:J26"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7EAF2AD-1CB7-4551-84FE-0EF380DA06A5}" name="OP" displayName="OP" ref="H8:H14" totalsRowShown="0" headerRowDxfId="309" dataDxfId="308">
  <autoFilter ref="H8:H14" xr:uid="{A7EAF2AD-1CB7-4551-84FE-0EF380DA06A5}"/>
  <tableColumns count="1">
    <tableColumn id="1" xr3:uid="{6F544CFE-61C6-432C-A5DE-69323E328FB7}" name="Outlet Protection" dataDxfId="30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514E1D8-C40F-48FA-A4B4-A4504FBD78F6}" name="Table810" displayName="Table810" ref="B11:B14" totalsRowShown="0" headerRowDxfId="306" dataDxfId="305">
  <autoFilter ref="B11:B14" xr:uid="{F514E1D8-C40F-48FA-A4B4-A4504FBD78F6}"/>
  <tableColumns count="1">
    <tableColumn id="1" xr3:uid="{98C2486E-9A6E-4168-B137-B9F394B82082}" name="Acceptance Table" dataDxfId="30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52068DA-F181-4F93-9130-C46AA1408A2B}" name="Storms" displayName="Storms" ref="K26:L32" totalsRowShown="0" headerRowDxfId="303">
  <autoFilter ref="K26:L32" xr:uid="{852068DA-F181-4F93-9130-C46AA1408A2B}"/>
  <tableColumns count="2">
    <tableColumn id="1" xr3:uid="{008CF76C-B836-45AE-895D-644C39A165C0}" name="Known or Adj Storm" dataDxfId="302"/>
    <tableColumn id="2" xr3:uid="{82C241EF-93A2-4A72-9F1B-8C01222DD553}" name="Requirements" dataDxfId="30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4A4BFF3-B0A2-4166-8235-D23D4EC4840B}" name="Table8" displayName="Table8" ref="L35:L37" totalsRowShown="0" headerRowDxfId="300" dataDxfId="299">
  <autoFilter ref="L35:L37" xr:uid="{64A4BFF3-B0A2-4166-8235-D23D4EC4840B}"/>
  <tableColumns count="1">
    <tableColumn id="1" xr3:uid="{06343F4F-5858-4F77-9822-7FE915C39614}" name="Question" dataDxfId="29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63C5B42-C449-4F0C-ACFB-587DFDF4F83B}" name="RRC" displayName="RRC" ref="H18:H23" totalsRowShown="0" headerRowDxfId="297" dataDxfId="296">
  <autoFilter ref="H18:H23" xr:uid="{E63C5B42-C449-4F0C-ACFB-587DFDF4F83B}"/>
  <tableColumns count="1">
    <tableColumn id="1" xr3:uid="{A6662390-CC1E-45A2-889F-273D98E4ED59}" name="Riprap Class" dataDxfId="29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46"/>
  <sheetViews>
    <sheetView showGridLines="0" topLeftCell="A4" zoomScaleNormal="100" workbookViewId="0">
      <selection activeCell="F14" sqref="F14"/>
    </sheetView>
  </sheetViews>
  <sheetFormatPr defaultRowHeight="14.4" x14ac:dyDescent="0.3"/>
  <cols>
    <col min="1" max="1" width="28.44140625" bestFit="1" customWidth="1"/>
    <col min="2" max="2" width="30.77734375" customWidth="1"/>
    <col min="3" max="3" width="4.77734375" customWidth="1"/>
    <col min="4" max="4" width="26.33203125" bestFit="1" customWidth="1"/>
    <col min="5" max="5" width="3.77734375" customWidth="1"/>
    <col min="6" max="6" width="25" bestFit="1" customWidth="1"/>
    <col min="7" max="7" width="4.5546875" bestFit="1" customWidth="1"/>
    <col min="8" max="8" width="26" bestFit="1" customWidth="1"/>
    <col min="9" max="9" width="3.77734375" customWidth="1"/>
    <col min="10" max="10" width="72.6640625" bestFit="1" customWidth="1"/>
    <col min="11" max="11" width="20" customWidth="1"/>
    <col min="12" max="12" width="23.33203125" bestFit="1" customWidth="1"/>
    <col min="13" max="13" width="23.33203125" customWidth="1"/>
    <col min="14" max="15" width="20.44140625" bestFit="1" customWidth="1"/>
    <col min="16" max="16" width="20.44140625" customWidth="1"/>
    <col min="17" max="17" width="25" bestFit="1" customWidth="1"/>
    <col min="18" max="19" width="20.44140625" bestFit="1" customWidth="1"/>
  </cols>
  <sheetData>
    <row r="1" spans="1:19" x14ac:dyDescent="0.3">
      <c r="A1" s="163" t="s">
        <v>428</v>
      </c>
      <c r="B1" s="164"/>
      <c r="D1" t="s">
        <v>22</v>
      </c>
      <c r="F1" t="s">
        <v>30</v>
      </c>
      <c r="H1" t="s">
        <v>56</v>
      </c>
      <c r="J1" t="s">
        <v>70</v>
      </c>
      <c r="K1">
        <v>1</v>
      </c>
      <c r="L1" s="144" t="s">
        <v>255</v>
      </c>
      <c r="M1" s="144" t="s">
        <v>439</v>
      </c>
      <c r="N1" s="144" t="s">
        <v>138</v>
      </c>
      <c r="O1" s="144" t="s">
        <v>224</v>
      </c>
      <c r="P1" s="144" t="s">
        <v>511</v>
      </c>
      <c r="Q1" s="144" t="s">
        <v>140</v>
      </c>
      <c r="R1" s="144" t="s">
        <v>137</v>
      </c>
      <c r="S1" s="144" t="s">
        <v>139</v>
      </c>
    </row>
    <row r="2" spans="1:19" x14ac:dyDescent="0.3">
      <c r="A2" s="135" t="s">
        <v>429</v>
      </c>
      <c r="B2" s="136">
        <f>EDATE(F$13,B3)</f>
        <v>46661</v>
      </c>
      <c r="D2" t="s">
        <v>23</v>
      </c>
      <c r="F2" t="s">
        <v>265</v>
      </c>
      <c r="H2" t="s">
        <v>156</v>
      </c>
      <c r="J2" t="s">
        <v>372</v>
      </c>
      <c r="K2">
        <f>K1+1</f>
        <v>2</v>
      </c>
      <c r="L2" s="72" t="s">
        <v>5</v>
      </c>
      <c r="M2" s="117">
        <v>1</v>
      </c>
      <c r="N2" s="114">
        <v>1.1000000000000001</v>
      </c>
      <c r="O2" s="114">
        <v>1.1000000000000001</v>
      </c>
      <c r="P2" s="117">
        <v>1.1000000000000001</v>
      </c>
      <c r="Q2" s="114">
        <v>1.2</v>
      </c>
      <c r="R2" s="114">
        <v>1.1000000000000001</v>
      </c>
      <c r="S2" s="117">
        <v>1.1000000000000001</v>
      </c>
    </row>
    <row r="3" spans="1:19" x14ac:dyDescent="0.3">
      <c r="A3" s="137" t="s">
        <v>430</v>
      </c>
      <c r="B3" s="138">
        <v>13</v>
      </c>
      <c r="D3" t="s">
        <v>64</v>
      </c>
      <c r="F3" t="s">
        <v>266</v>
      </c>
      <c r="H3" t="s">
        <v>157</v>
      </c>
      <c r="J3" t="s">
        <v>72</v>
      </c>
      <c r="K3">
        <f t="shared" ref="K3:K23" si="0">K2+1</f>
        <v>3</v>
      </c>
      <c r="L3" s="72" t="s">
        <v>6</v>
      </c>
      <c r="M3" s="117">
        <v>6.02</v>
      </c>
      <c r="N3" s="114">
        <v>4.1100000000000003</v>
      </c>
      <c r="O3" s="114">
        <v>4.1399999999999997</v>
      </c>
      <c r="P3" s="117">
        <v>4.12</v>
      </c>
      <c r="Q3" s="114">
        <v>5.7</v>
      </c>
      <c r="R3" s="114">
        <v>4.24</v>
      </c>
      <c r="S3" s="117">
        <v>4.21</v>
      </c>
    </row>
    <row r="4" spans="1:19" x14ac:dyDescent="0.3">
      <c r="A4" s="137" t="s">
        <v>431</v>
      </c>
      <c r="B4" s="139"/>
      <c r="D4" t="s">
        <v>65</v>
      </c>
      <c r="F4" t="s">
        <v>150</v>
      </c>
      <c r="H4" t="s">
        <v>258</v>
      </c>
      <c r="J4" t="s">
        <v>69</v>
      </c>
      <c r="K4">
        <f t="shared" si="0"/>
        <v>4</v>
      </c>
      <c r="L4" s="72" t="s">
        <v>7</v>
      </c>
      <c r="M4" s="117">
        <v>7.68</v>
      </c>
      <c r="N4" s="114">
        <v>5.01</v>
      </c>
      <c r="O4" s="114">
        <v>5.0599999999999996</v>
      </c>
      <c r="P4" s="117">
        <v>5.05</v>
      </c>
      <c r="Q4" s="114">
        <v>7.21</v>
      </c>
      <c r="R4" s="114">
        <v>5.3</v>
      </c>
      <c r="S4" s="117">
        <v>5.24</v>
      </c>
    </row>
    <row r="5" spans="1:19" x14ac:dyDescent="0.3">
      <c r="A5" s="137" t="s">
        <v>432</v>
      </c>
      <c r="B5" s="138" t="s">
        <v>460</v>
      </c>
      <c r="D5" t="s">
        <v>27</v>
      </c>
      <c r="F5" t="s">
        <v>149</v>
      </c>
      <c r="J5" t="s">
        <v>71</v>
      </c>
      <c r="K5">
        <f t="shared" si="0"/>
        <v>5</v>
      </c>
      <c r="L5" s="72" t="s">
        <v>8</v>
      </c>
      <c r="M5" s="117">
        <v>9.26</v>
      </c>
      <c r="N5" s="114">
        <v>5.87</v>
      </c>
      <c r="O5" s="114">
        <v>5.91</v>
      </c>
      <c r="P5" s="117">
        <v>5.83</v>
      </c>
      <c r="Q5" s="114">
        <v>8.6300000000000008</v>
      </c>
      <c r="R5" s="114">
        <v>6.24</v>
      </c>
      <c r="S5" s="117">
        <v>6.17</v>
      </c>
    </row>
    <row r="6" spans="1:19" x14ac:dyDescent="0.3">
      <c r="A6" s="137" t="s">
        <v>433</v>
      </c>
      <c r="B6" s="140">
        <f>IF(ISBLANK($B$4),$B$2,$B$4)</f>
        <v>46661</v>
      </c>
      <c r="D6" t="s">
        <v>25</v>
      </c>
      <c r="F6" t="s">
        <v>152</v>
      </c>
      <c r="J6" t="s">
        <v>66</v>
      </c>
      <c r="K6">
        <f t="shared" si="0"/>
        <v>6</v>
      </c>
      <c r="L6" s="72" t="s">
        <v>9</v>
      </c>
      <c r="M6" s="117">
        <v>11.7</v>
      </c>
      <c r="N6" s="114">
        <v>7.21</v>
      </c>
      <c r="O6" s="114">
        <v>7.26</v>
      </c>
      <c r="P6" s="117">
        <v>6.91</v>
      </c>
      <c r="Q6" s="114">
        <v>10.8</v>
      </c>
      <c r="R6" s="114">
        <v>7.64</v>
      </c>
      <c r="S6" s="117">
        <v>7.55</v>
      </c>
    </row>
    <row r="7" spans="1:19" x14ac:dyDescent="0.3">
      <c r="A7" s="137" t="s">
        <v>434</v>
      </c>
      <c r="B7" s="141" t="b">
        <f>IF(License!$F$2="I ACCEPT",TRUE,FALSE)</f>
        <v>0</v>
      </c>
      <c r="D7" t="s">
        <v>24</v>
      </c>
      <c r="F7" t="s">
        <v>151</v>
      </c>
      <c r="J7" t="str">
        <f>"Velocity &gt; "&amp;F26&amp;" ft/s"</f>
        <v>Velocity &gt; 6 ft/s</v>
      </c>
      <c r="K7">
        <f t="shared" si="0"/>
        <v>7</v>
      </c>
      <c r="L7" s="72" t="s">
        <v>268</v>
      </c>
      <c r="M7" s="117">
        <v>13.9</v>
      </c>
      <c r="N7" s="114">
        <v>8.3699999999999992</v>
      </c>
      <c r="O7" s="114">
        <v>8.48</v>
      </c>
      <c r="P7" s="117">
        <v>7.75</v>
      </c>
      <c r="Q7" s="114">
        <v>12.7</v>
      </c>
      <c r="R7" s="114">
        <v>8.8000000000000007</v>
      </c>
      <c r="S7" s="117">
        <v>8.6999999999999993</v>
      </c>
    </row>
    <row r="8" spans="1:19" x14ac:dyDescent="0.3">
      <c r="A8" s="142" t="s">
        <v>435</v>
      </c>
      <c r="B8" s="143" t="b">
        <f ca="1">OR(License!$F$4=B5, AND(B7=TRUE, NOW()&lt;B6))</f>
        <v>0</v>
      </c>
      <c r="D8" t="s">
        <v>26</v>
      </c>
      <c r="F8" t="s">
        <v>301</v>
      </c>
      <c r="H8" s="24" t="s">
        <v>410</v>
      </c>
      <c r="J8" t="s">
        <v>420</v>
      </c>
      <c r="K8">
        <f t="shared" si="0"/>
        <v>8</v>
      </c>
      <c r="L8" s="72" t="s">
        <v>10</v>
      </c>
      <c r="M8" s="117">
        <v>16.3</v>
      </c>
      <c r="N8" s="114">
        <v>9.65</v>
      </c>
      <c r="O8" s="114">
        <v>9.83</v>
      </c>
      <c r="P8" s="117">
        <v>8.6</v>
      </c>
      <c r="Q8" s="114">
        <v>14.8</v>
      </c>
      <c r="R8" s="114">
        <v>10</v>
      </c>
      <c r="S8" s="117">
        <v>9.93</v>
      </c>
    </row>
    <row r="9" spans="1:19" x14ac:dyDescent="0.3">
      <c r="A9" s="24"/>
      <c r="B9" s="24"/>
      <c r="D9" t="s">
        <v>63</v>
      </c>
      <c r="F9" t="s">
        <v>267</v>
      </c>
      <c r="H9" s="24" t="s">
        <v>411</v>
      </c>
      <c r="J9" t="s">
        <v>100</v>
      </c>
      <c r="K9">
        <f t="shared" si="0"/>
        <v>9</v>
      </c>
      <c r="L9" s="72" t="s">
        <v>227</v>
      </c>
      <c r="M9" s="145">
        <v>40574</v>
      </c>
      <c r="N9" s="118" t="s">
        <v>228</v>
      </c>
      <c r="O9" s="118" t="s">
        <v>229</v>
      </c>
      <c r="P9" s="145"/>
      <c r="Q9" s="118" t="s">
        <v>230</v>
      </c>
      <c r="R9" s="118" t="s">
        <v>230</v>
      </c>
      <c r="S9" s="118" t="s">
        <v>231</v>
      </c>
    </row>
    <row r="10" spans="1:19" x14ac:dyDescent="0.3">
      <c r="A10" s="24"/>
      <c r="B10" s="24"/>
      <c r="D10" t="s">
        <v>28</v>
      </c>
      <c r="F10" t="s">
        <v>28</v>
      </c>
      <c r="H10" s="24" t="s">
        <v>412</v>
      </c>
      <c r="J10" t="s">
        <v>362</v>
      </c>
      <c r="K10">
        <f t="shared" si="0"/>
        <v>10</v>
      </c>
      <c r="L10" s="72" t="s">
        <v>232</v>
      </c>
      <c r="M10" s="123" t="s">
        <v>234</v>
      </c>
      <c r="N10" s="75" t="s">
        <v>233</v>
      </c>
      <c r="O10" s="75" t="s">
        <v>234</v>
      </c>
      <c r="P10" s="123" t="s">
        <v>234</v>
      </c>
      <c r="Q10" s="75" t="s">
        <v>233</v>
      </c>
      <c r="R10" s="75" t="s">
        <v>233</v>
      </c>
      <c r="S10" s="75" t="s">
        <v>233</v>
      </c>
    </row>
    <row r="11" spans="1:19" ht="15.6" x14ac:dyDescent="0.35">
      <c r="A11" s="24"/>
      <c r="B11" s="24" t="s">
        <v>436</v>
      </c>
      <c r="H11" s="24" t="s">
        <v>413</v>
      </c>
      <c r="J11" t="s">
        <v>132</v>
      </c>
      <c r="K11">
        <f t="shared" si="0"/>
        <v>11</v>
      </c>
      <c r="L11" s="72" t="s">
        <v>235</v>
      </c>
      <c r="M11" s="123" t="s">
        <v>466</v>
      </c>
      <c r="N11" s="75" t="s">
        <v>236</v>
      </c>
      <c r="O11" s="75" t="s">
        <v>106</v>
      </c>
      <c r="P11" s="123"/>
      <c r="Q11" s="75" t="s">
        <v>106</v>
      </c>
      <c r="R11" s="75" t="s">
        <v>106</v>
      </c>
      <c r="S11" s="75" t="s">
        <v>106</v>
      </c>
    </row>
    <row r="12" spans="1:19" x14ac:dyDescent="0.3">
      <c r="A12" s="24"/>
      <c r="B12" s="24" t="s">
        <v>437</v>
      </c>
      <c r="H12" s="24" t="s">
        <v>414</v>
      </c>
      <c r="J12" t="s">
        <v>459</v>
      </c>
      <c r="K12">
        <f t="shared" si="0"/>
        <v>12</v>
      </c>
      <c r="L12" s="72" t="s">
        <v>251</v>
      </c>
      <c r="M12" s="123"/>
      <c r="N12" s="75"/>
      <c r="O12" s="75"/>
      <c r="P12" s="123"/>
      <c r="Q12" s="75" t="s">
        <v>252</v>
      </c>
      <c r="R12" s="75" t="s">
        <v>264</v>
      </c>
      <c r="S12" s="75"/>
    </row>
    <row r="13" spans="1:19" x14ac:dyDescent="0.3">
      <c r="A13" s="24"/>
      <c r="B13" s="24" t="s">
        <v>423</v>
      </c>
      <c r="D13" s="72" t="s">
        <v>217</v>
      </c>
      <c r="F13" s="112">
        <v>46266</v>
      </c>
      <c r="H13" s="24" t="s">
        <v>415</v>
      </c>
      <c r="J13" t="s">
        <v>223</v>
      </c>
      <c r="K13">
        <f t="shared" si="0"/>
        <v>13</v>
      </c>
      <c r="L13" s="72" t="s">
        <v>253</v>
      </c>
      <c r="M13" s="123">
        <v>6</v>
      </c>
      <c r="N13" s="75">
        <v>5</v>
      </c>
      <c r="O13" s="75">
        <v>5</v>
      </c>
      <c r="P13" s="123">
        <v>6</v>
      </c>
      <c r="Q13" s="75">
        <v>5</v>
      </c>
      <c r="R13" s="75">
        <v>6</v>
      </c>
      <c r="S13" s="75">
        <v>6</v>
      </c>
    </row>
    <row r="14" spans="1:19" x14ac:dyDescent="0.3">
      <c r="A14" s="24"/>
      <c r="B14" s="24" t="s">
        <v>438</v>
      </c>
      <c r="D14" s="77" t="s">
        <v>141</v>
      </c>
      <c r="F14" s="113" t="s">
        <v>139</v>
      </c>
      <c r="H14" s="24" t="s">
        <v>28</v>
      </c>
      <c r="J14" t="s">
        <v>523</v>
      </c>
      <c r="K14">
        <f t="shared" si="0"/>
        <v>14</v>
      </c>
      <c r="L14" s="72" t="s">
        <v>259</v>
      </c>
      <c r="M14" s="146" t="s">
        <v>282</v>
      </c>
      <c r="N14" s="116"/>
      <c r="O14" s="116"/>
      <c r="P14" s="158"/>
      <c r="Q14" s="119" t="s">
        <v>282</v>
      </c>
      <c r="R14" s="119" t="s">
        <v>260</v>
      </c>
      <c r="S14" s="119" t="s">
        <v>261</v>
      </c>
    </row>
    <row r="15" spans="1:19" x14ac:dyDescent="0.3">
      <c r="D15" s="72" t="s">
        <v>5</v>
      </c>
      <c r="F15" s="114">
        <f>HLOOKUP($F$14,$M$1:$S$23,2)</f>
        <v>1.1000000000000001</v>
      </c>
      <c r="G15" s="75" t="str">
        <f>TEXT(F15,"0.00")</f>
        <v>1.10</v>
      </c>
      <c r="J15" t="s">
        <v>532</v>
      </c>
      <c r="K15">
        <f t="shared" si="0"/>
        <v>15</v>
      </c>
      <c r="L15" s="72" t="s">
        <v>269</v>
      </c>
      <c r="M15" s="123" t="s">
        <v>270</v>
      </c>
      <c r="N15" s="75" t="s">
        <v>270</v>
      </c>
      <c r="O15" s="75" t="s">
        <v>270</v>
      </c>
      <c r="P15" s="123" t="s">
        <v>270</v>
      </c>
      <c r="Q15" s="75" t="s">
        <v>270</v>
      </c>
      <c r="R15" s="75" t="s">
        <v>270</v>
      </c>
      <c r="S15" s="75" t="s">
        <v>270</v>
      </c>
    </row>
    <row r="16" spans="1:19" x14ac:dyDescent="0.3">
      <c r="D16" s="72" t="s">
        <v>6</v>
      </c>
      <c r="F16" s="114">
        <f>HLOOKUP($F$14,$M$1:$S$23,3)</f>
        <v>4.21</v>
      </c>
      <c r="J16" t="s">
        <v>219</v>
      </c>
      <c r="K16">
        <f t="shared" si="0"/>
        <v>16</v>
      </c>
      <c r="L16" s="72" t="s">
        <v>299</v>
      </c>
      <c r="M16" s="123">
        <v>6</v>
      </c>
      <c r="N16" s="75">
        <v>6</v>
      </c>
      <c r="O16" s="75">
        <v>6</v>
      </c>
      <c r="P16" s="123">
        <v>6</v>
      </c>
      <c r="Q16" s="75">
        <v>6</v>
      </c>
      <c r="R16" s="75">
        <v>6</v>
      </c>
      <c r="S16" s="75">
        <v>6</v>
      </c>
    </row>
    <row r="17" spans="4:19" ht="16.2" x14ac:dyDescent="0.3">
      <c r="D17" s="72" t="s">
        <v>7</v>
      </c>
      <c r="F17" s="114">
        <f>HLOOKUP($F$14,$M$1:$S$23,4)</f>
        <v>5.24</v>
      </c>
      <c r="G17" s="76"/>
      <c r="J17" t="s">
        <v>271</v>
      </c>
      <c r="K17">
        <f t="shared" si="0"/>
        <v>17</v>
      </c>
      <c r="L17" s="72" t="s">
        <v>300</v>
      </c>
      <c r="M17" s="123" t="s">
        <v>127</v>
      </c>
      <c r="N17" s="123" t="s">
        <v>127</v>
      </c>
      <c r="O17" s="123" t="s">
        <v>127</v>
      </c>
      <c r="P17" s="123" t="s">
        <v>127</v>
      </c>
      <c r="Q17" s="123" t="s">
        <v>127</v>
      </c>
      <c r="R17" s="123" t="s">
        <v>127</v>
      </c>
      <c r="S17" s="123" t="s">
        <v>127</v>
      </c>
    </row>
    <row r="18" spans="4:19" x14ac:dyDescent="0.3">
      <c r="D18" s="72" t="s">
        <v>8</v>
      </c>
      <c r="F18" s="114">
        <f>HLOOKUP($F$14,$M$1:$S$23,5)</f>
        <v>6.17</v>
      </c>
      <c r="H18" s="24" t="s">
        <v>520</v>
      </c>
      <c r="J18" t="str">
        <f>F25&amp;" has not been provided"</f>
        <v>0 has not been provided</v>
      </c>
      <c r="K18">
        <f t="shared" si="0"/>
        <v>18</v>
      </c>
      <c r="L18" s="72" t="s">
        <v>302</v>
      </c>
      <c r="M18" s="123">
        <v>25</v>
      </c>
      <c r="N18" s="123">
        <v>25</v>
      </c>
      <c r="O18" s="123">
        <v>25</v>
      </c>
      <c r="P18" s="123">
        <v>25</v>
      </c>
      <c r="Q18" s="123">
        <v>2</v>
      </c>
      <c r="R18" s="123">
        <v>25</v>
      </c>
      <c r="S18" s="123">
        <v>25</v>
      </c>
    </row>
    <row r="19" spans="4:19" x14ac:dyDescent="0.3">
      <c r="D19" s="72" t="s">
        <v>9</v>
      </c>
      <c r="F19" s="114">
        <f>HLOOKUP($F$14,$M$1:$S$23,6)</f>
        <v>7.55</v>
      </c>
      <c r="H19" s="123">
        <v>1</v>
      </c>
      <c r="J19" t="str">
        <f>"Known flooding:  "&amp;'Form 2F.1 - Design'!AS153&amp;"-yr discharge &gt; "&amp;'Form 2F.1 - Design'!AR153&amp;"-yr discharge"</f>
        <v>Known flooding:  25, 50, and 100-yr discharge &gt; 25-yr discharge</v>
      </c>
      <c r="K19" s="24">
        <f t="shared" si="0"/>
        <v>19</v>
      </c>
      <c r="L19" s="72" t="s">
        <v>399</v>
      </c>
      <c r="M19" s="123" t="str">
        <f t="shared" ref="M19" si="1">VLOOKUP(M18,$K$27:$L$32,2)</f>
        <v>25, 50, and 100</v>
      </c>
      <c r="N19" s="123" t="str">
        <f t="shared" ref="N19:S19" si="2">VLOOKUP(N18,$K$27:$L$32,2)</f>
        <v>25, 50, and 100</v>
      </c>
      <c r="O19" s="123" t="str">
        <f t="shared" si="2"/>
        <v>25, 50, and 100</v>
      </c>
      <c r="P19" s="123" t="str">
        <f t="shared" si="2"/>
        <v>25, 50, and 100</v>
      </c>
      <c r="Q19" s="123" t="str">
        <f t="shared" si="2"/>
        <v>2, 5, 10, 25, 50, and 100</v>
      </c>
      <c r="R19" s="123" t="str">
        <f t="shared" si="2"/>
        <v>25, 50, and 100</v>
      </c>
      <c r="S19" s="123" t="str">
        <f t="shared" si="2"/>
        <v>25, 50, and 100</v>
      </c>
    </row>
    <row r="20" spans="4:19" x14ac:dyDescent="0.3">
      <c r="D20" s="72" t="s">
        <v>268</v>
      </c>
      <c r="F20" s="114">
        <f>HLOOKUP($F$14,$M$1:$S$23,7)</f>
        <v>8.6999999999999993</v>
      </c>
      <c r="H20" s="123">
        <v>2</v>
      </c>
      <c r="J20" t="str">
        <f>"Drains to adjacent property:  "&amp;'Form 2F.1 - Design'!AS153&amp;"-yr discharge &gt; "&amp;'Form 2F.1 - Design'!AR153&amp;"-yr discharge"</f>
        <v>Drains to adjacent property:  25, 50, and 100-yr discharge &gt; 25-yr discharge</v>
      </c>
      <c r="K20" s="24">
        <f t="shared" si="0"/>
        <v>20</v>
      </c>
      <c r="L20" s="72" t="s">
        <v>303</v>
      </c>
      <c r="M20" s="123" t="s">
        <v>127</v>
      </c>
      <c r="N20" s="123" t="s">
        <v>127</v>
      </c>
      <c r="O20" s="123" t="s">
        <v>127</v>
      </c>
      <c r="P20" s="123" t="s">
        <v>127</v>
      </c>
      <c r="Q20" s="123" t="s">
        <v>143</v>
      </c>
      <c r="R20" s="123" t="s">
        <v>143</v>
      </c>
      <c r="S20" s="123" t="s">
        <v>143</v>
      </c>
    </row>
    <row r="21" spans="4:19" x14ac:dyDescent="0.3">
      <c r="D21" s="72" t="s">
        <v>10</v>
      </c>
      <c r="F21" s="114">
        <f>HLOOKUP($F$14,$M$1:$S$23,8)</f>
        <v>9.93</v>
      </c>
      <c r="H21" s="123">
        <v>3</v>
      </c>
      <c r="J21" t="s">
        <v>296</v>
      </c>
      <c r="K21" s="24">
        <f t="shared" si="0"/>
        <v>21</v>
      </c>
      <c r="L21" s="72" t="s">
        <v>304</v>
      </c>
      <c r="M21" s="123">
        <v>25</v>
      </c>
      <c r="N21" s="123">
        <v>25</v>
      </c>
      <c r="O21" s="123">
        <v>25</v>
      </c>
      <c r="P21" s="123">
        <v>25</v>
      </c>
      <c r="Q21" s="123">
        <v>2</v>
      </c>
      <c r="R21" s="123">
        <v>25</v>
      </c>
      <c r="S21" s="123">
        <v>25</v>
      </c>
    </row>
    <row r="22" spans="4:19" x14ac:dyDescent="0.3">
      <c r="D22" s="72" t="s">
        <v>227</v>
      </c>
      <c r="F22" s="115" t="str">
        <f>HLOOKUP($F$14,$M$1:$S$23,9)</f>
        <v>1 July 2018</v>
      </c>
      <c r="H22" s="123">
        <v>4</v>
      </c>
      <c r="J22" s="24" t="s">
        <v>417</v>
      </c>
      <c r="K22" s="24">
        <f t="shared" si="0"/>
        <v>22</v>
      </c>
      <c r="L22" s="72" t="s">
        <v>400</v>
      </c>
      <c r="M22" s="123" t="str">
        <f t="shared" ref="M22" si="3">VLOOKUP(M21,$K$27:$L$32,2)</f>
        <v>25, 50, and 100</v>
      </c>
      <c r="N22" s="123" t="str">
        <f t="shared" ref="N22:S22" si="4">VLOOKUP(N21,$K$27:$L$32,2)</f>
        <v>25, 50, and 100</v>
      </c>
      <c r="O22" s="123" t="str">
        <f t="shared" si="4"/>
        <v>25, 50, and 100</v>
      </c>
      <c r="P22" s="123" t="str">
        <f t="shared" si="4"/>
        <v>25, 50, and 100</v>
      </c>
      <c r="Q22" s="123" t="str">
        <f t="shared" si="4"/>
        <v>2, 5, 10, 25, 50, and 100</v>
      </c>
      <c r="R22" s="123" t="str">
        <f t="shared" si="4"/>
        <v>25, 50, and 100</v>
      </c>
      <c r="S22" s="123" t="str">
        <f t="shared" si="4"/>
        <v>25, 50, and 100</v>
      </c>
    </row>
    <row r="23" spans="4:19" x14ac:dyDescent="0.3">
      <c r="D23" s="72" t="s">
        <v>237</v>
      </c>
      <c r="F23" s="115" t="str">
        <f>HLOOKUP($F$14,$M$1:$S$23,10)</f>
        <v>City</v>
      </c>
      <c r="H23" s="123">
        <v>5</v>
      </c>
      <c r="J23" t="e">
        <f>"For Class "&amp;'Form 2F.1 - Design'!AR124&amp;" Riprap, the minimum depth is "&amp;'Form 2F.1 - Design'!AS124&amp;"0-feet"</f>
        <v>#N/A</v>
      </c>
      <c r="K23" s="24">
        <f t="shared" si="0"/>
        <v>23</v>
      </c>
      <c r="L23" s="72" t="s">
        <v>398</v>
      </c>
      <c r="M23" s="123" t="s">
        <v>467</v>
      </c>
      <c r="N23" s="123" t="s">
        <v>512</v>
      </c>
      <c r="O23" s="123" t="s">
        <v>512</v>
      </c>
      <c r="P23" s="123" t="s">
        <v>512</v>
      </c>
      <c r="Q23" s="123" t="s">
        <v>512</v>
      </c>
      <c r="R23" s="123" t="s">
        <v>513</v>
      </c>
      <c r="S23" s="123" t="s">
        <v>512</v>
      </c>
    </row>
    <row r="24" spans="4:19" x14ac:dyDescent="0.3">
      <c r="D24" s="72" t="s">
        <v>235</v>
      </c>
      <c r="F24" s="115" t="str">
        <f>HLOOKUP($F$14,$M$1:$S$23,11)</f>
        <v xml:space="preserve"> O&amp;M Agreement</v>
      </c>
      <c r="J24" t="s">
        <v>525</v>
      </c>
      <c r="K24" s="24">
        <v>24</v>
      </c>
      <c r="L24" s="72" t="s">
        <v>440</v>
      </c>
      <c r="M24" s="123" t="s">
        <v>439</v>
      </c>
      <c r="N24" s="123" t="s">
        <v>441</v>
      </c>
      <c r="O24" s="123" t="s">
        <v>442</v>
      </c>
      <c r="P24" s="123" t="s">
        <v>511</v>
      </c>
      <c r="Q24" s="123" t="s">
        <v>443</v>
      </c>
      <c r="R24" s="123" t="s">
        <v>444</v>
      </c>
      <c r="S24" s="123" t="s">
        <v>445</v>
      </c>
    </row>
    <row r="25" spans="4:19" x14ac:dyDescent="0.3">
      <c r="D25" s="72" t="s">
        <v>251</v>
      </c>
      <c r="F25" s="75">
        <f>HLOOKUP($F$14,$M$1:$S$23,12)</f>
        <v>0</v>
      </c>
      <c r="J25" t="s">
        <v>527</v>
      </c>
      <c r="K25" s="24"/>
      <c r="L25" s="24"/>
      <c r="M25" s="24"/>
      <c r="N25" s="24"/>
      <c r="O25" s="24"/>
      <c r="P25" s="24"/>
      <c r="Q25" s="24"/>
      <c r="R25" s="24"/>
      <c r="S25" s="24"/>
    </row>
    <row r="26" spans="4:19" x14ac:dyDescent="0.3">
      <c r="D26" s="72" t="s">
        <v>253</v>
      </c>
      <c r="F26" s="114">
        <f>HLOOKUP($F$14,$M$1:$S$23,13)</f>
        <v>6</v>
      </c>
      <c r="J26" t="s">
        <v>528</v>
      </c>
      <c r="K26" s="123" t="s">
        <v>401</v>
      </c>
      <c r="L26" s="123" t="s">
        <v>402</v>
      </c>
      <c r="M26" s="123"/>
      <c r="O26" s="24"/>
      <c r="P26" s="24"/>
      <c r="Q26" s="24"/>
      <c r="R26" s="24"/>
      <c r="S26" s="24"/>
    </row>
    <row r="27" spans="4:19" x14ac:dyDescent="0.3">
      <c r="D27" s="72" t="s">
        <v>262</v>
      </c>
      <c r="F27" s="116" t="str">
        <f>HLOOKUP($F$14,$M$1:$S$23,14)</f>
        <v>1 September</v>
      </c>
      <c r="K27" s="24">
        <v>2</v>
      </c>
      <c r="L27" s="72" t="s">
        <v>270</v>
      </c>
      <c r="M27" s="72"/>
      <c r="O27" s="24"/>
      <c r="P27" s="24"/>
      <c r="Q27" s="24"/>
      <c r="R27" s="24"/>
      <c r="S27" s="24"/>
    </row>
    <row r="28" spans="4:19" x14ac:dyDescent="0.3">
      <c r="D28" s="72" t="s">
        <v>269</v>
      </c>
      <c r="F28" s="116" t="str">
        <f>HLOOKUP($F$14,$M$1:$S$23,15)</f>
        <v>2, 5, 10, 25, 50, and 100</v>
      </c>
      <c r="K28" s="24">
        <v>5</v>
      </c>
      <c r="L28" s="72" t="s">
        <v>404</v>
      </c>
      <c r="M28" s="72"/>
      <c r="O28" s="24"/>
      <c r="P28" s="24"/>
      <c r="Q28" s="24"/>
      <c r="R28" s="24"/>
      <c r="S28" s="24"/>
    </row>
    <row r="29" spans="4:19" x14ac:dyDescent="0.3">
      <c r="D29" s="72" t="s">
        <v>300</v>
      </c>
      <c r="E29" s="98"/>
      <c r="F29" s="116" t="str">
        <f>HLOOKUP($F$14,$M$1:$S$23,17)</f>
        <v>No</v>
      </c>
      <c r="K29" s="24">
        <v>10</v>
      </c>
      <c r="L29" s="72" t="s">
        <v>405</v>
      </c>
      <c r="M29" s="72"/>
      <c r="N29" s="24"/>
      <c r="O29" s="24"/>
      <c r="P29" s="24"/>
      <c r="Q29" s="24"/>
      <c r="R29" s="24"/>
      <c r="S29" s="24"/>
    </row>
    <row r="30" spans="4:19" x14ac:dyDescent="0.3">
      <c r="D30" s="72" t="s">
        <v>302</v>
      </c>
      <c r="E30" s="98"/>
      <c r="F30" s="98" t="str">
        <f>HLOOKUP($F$14,$M$1:$S$23,19)</f>
        <v>25, 50, and 100</v>
      </c>
      <c r="K30" s="24">
        <v>25</v>
      </c>
      <c r="L30" s="72" t="s">
        <v>406</v>
      </c>
      <c r="M30" s="72"/>
      <c r="N30" s="24"/>
      <c r="O30" s="24"/>
      <c r="P30" s="24"/>
      <c r="Q30" s="24"/>
      <c r="R30" s="24"/>
      <c r="S30" s="24"/>
    </row>
    <row r="31" spans="4:19" x14ac:dyDescent="0.3">
      <c r="D31" s="72" t="s">
        <v>399</v>
      </c>
      <c r="E31" s="98"/>
      <c r="F31" s="98">
        <f>HLOOKUP($F$14,$M$1:$S$23,18)</f>
        <v>25</v>
      </c>
      <c r="K31" s="24">
        <v>50</v>
      </c>
      <c r="L31" s="72" t="s">
        <v>407</v>
      </c>
      <c r="M31" s="72"/>
      <c r="N31" s="24"/>
      <c r="O31" s="24"/>
      <c r="P31" s="24"/>
      <c r="Q31" s="24"/>
      <c r="R31" s="24"/>
      <c r="S31" s="24"/>
    </row>
    <row r="32" spans="4:19" x14ac:dyDescent="0.3">
      <c r="D32" s="72" t="s">
        <v>303</v>
      </c>
      <c r="E32" s="98"/>
      <c r="F32" s="116" t="str">
        <f>HLOOKUP($F$14,$M$1:$S$23,20)</f>
        <v>Yes</v>
      </c>
      <c r="K32" s="24">
        <v>100</v>
      </c>
      <c r="L32" s="72">
        <v>100</v>
      </c>
      <c r="M32" s="72"/>
      <c r="N32" s="24"/>
      <c r="O32" s="24"/>
      <c r="P32" s="24"/>
      <c r="Q32" s="24"/>
      <c r="R32" s="24"/>
      <c r="S32" s="24"/>
    </row>
    <row r="33" spans="4:19" x14ac:dyDescent="0.3">
      <c r="D33" s="72" t="s">
        <v>304</v>
      </c>
      <c r="E33" s="98"/>
      <c r="F33" s="98">
        <f>HLOOKUP($F$14,$M$1:$S$23,21)</f>
        <v>25</v>
      </c>
      <c r="N33" s="24"/>
      <c r="O33" s="24"/>
      <c r="P33" s="24"/>
      <c r="Q33" s="24"/>
      <c r="R33" s="24"/>
      <c r="S33" s="24"/>
    </row>
    <row r="34" spans="4:19" x14ac:dyDescent="0.3">
      <c r="D34" s="72" t="s">
        <v>400</v>
      </c>
      <c r="E34" s="98"/>
      <c r="F34" s="98" t="str">
        <f>HLOOKUP($F$14,$M$1:$S$23,22)</f>
        <v>25, 50, and 100</v>
      </c>
      <c r="K34" s="24"/>
      <c r="M34" s="72"/>
      <c r="N34" s="24"/>
      <c r="O34" s="24"/>
      <c r="P34" s="24"/>
      <c r="Q34" s="24"/>
      <c r="R34" s="24"/>
      <c r="S34" s="24"/>
    </row>
    <row r="35" spans="4:19" x14ac:dyDescent="0.3">
      <c r="D35" s="72" t="s">
        <v>408</v>
      </c>
      <c r="E35" s="98"/>
      <c r="F35" s="124">
        <f>MIN(F31,F34)</f>
        <v>25</v>
      </c>
      <c r="K35" s="24"/>
      <c r="L35" s="123" t="s">
        <v>403</v>
      </c>
      <c r="M35" s="72"/>
      <c r="N35" s="24"/>
      <c r="O35" s="24"/>
      <c r="P35" s="24"/>
      <c r="Q35" s="24"/>
      <c r="R35" s="24"/>
      <c r="S35" s="24"/>
    </row>
    <row r="36" spans="4:19" x14ac:dyDescent="0.3">
      <c r="D36" s="72" t="s">
        <v>409</v>
      </c>
      <c r="E36" s="98"/>
      <c r="F36" s="123" t="str">
        <f>VLOOKUP(F35,$K$27:$L$32,2)</f>
        <v>25, 50, and 100</v>
      </c>
      <c r="K36" s="24"/>
      <c r="L36" s="123" t="s">
        <v>143</v>
      </c>
      <c r="M36" s="72"/>
      <c r="N36" s="24"/>
      <c r="O36" s="24"/>
      <c r="P36" s="24"/>
      <c r="Q36" s="24"/>
      <c r="R36" s="24"/>
      <c r="S36" s="24"/>
    </row>
    <row r="37" spans="4:19" x14ac:dyDescent="0.3">
      <c r="D37" s="77" t="s">
        <v>398</v>
      </c>
      <c r="F37" s="98" t="str">
        <f>HLOOKUP($F$14,$M$1:$S$23,23)</f>
        <v>Release Agreement</v>
      </c>
      <c r="K37" s="24"/>
      <c r="L37" s="123" t="s">
        <v>127</v>
      </c>
      <c r="M37" s="24"/>
      <c r="N37" s="24"/>
      <c r="O37" s="24"/>
      <c r="P37" s="24"/>
      <c r="Q37" s="24"/>
      <c r="R37" s="24"/>
      <c r="S37" s="24"/>
    </row>
    <row r="38" spans="4:19" x14ac:dyDescent="0.3">
      <c r="D38" s="77" t="s">
        <v>440</v>
      </c>
      <c r="F38" s="98" t="str">
        <f>HLOOKUP($F$14,$M$1:$S$24,24)</f>
        <v>the City of Prattville</v>
      </c>
    </row>
    <row r="39" spans="4:19" x14ac:dyDescent="0.3">
      <c r="H39" s="91" t="s">
        <v>245</v>
      </c>
    </row>
    <row r="40" spans="4:19" ht="64.95" customHeight="1" x14ac:dyDescent="0.3">
      <c r="D40" s="24"/>
      <c r="E40" s="147" t="s">
        <v>439</v>
      </c>
      <c r="F40" s="24"/>
    </row>
    <row r="41" spans="4:19" ht="64.95" customHeight="1" x14ac:dyDescent="0.3">
      <c r="E41" s="72" t="s">
        <v>138</v>
      </c>
    </row>
    <row r="42" spans="4:19" ht="64.95" customHeight="1" x14ac:dyDescent="0.3">
      <c r="E42" s="72" t="s">
        <v>224</v>
      </c>
    </row>
    <row r="43" spans="4:19" ht="64.95" customHeight="1" x14ac:dyDescent="0.3">
      <c r="E43" s="72" t="s">
        <v>511</v>
      </c>
      <c r="F43" s="159" t="e" vm="1">
        <v>#VALUE!</v>
      </c>
    </row>
    <row r="44" spans="4:19" ht="64.95" customHeight="1" x14ac:dyDescent="0.3">
      <c r="E44" s="72" t="s">
        <v>140</v>
      </c>
    </row>
    <row r="45" spans="4:19" ht="64.95" customHeight="1" x14ac:dyDescent="0.3">
      <c r="E45" s="72" t="s">
        <v>137</v>
      </c>
    </row>
    <row r="46" spans="4:19" ht="64.95" customHeight="1" x14ac:dyDescent="0.3">
      <c r="E46" s="72" t="s">
        <v>139</v>
      </c>
    </row>
  </sheetData>
  <sheetProtection algorithmName="SHA-512" hashValue="JERioB4rru9TyWbBVFzigJKTS8E5yTfnKYj6z3FdfC07Cd+0DjIAzsRcIIvVCoBwHI4nM48TFDmnZXsv3xu0TQ==" saltValue="TENdJ+cdIyQNqgkrLvlHkQ==" spinCount="100000" sheet="1" objects="1" scenarios="1"/>
  <mergeCells count="1">
    <mergeCell ref="A1:B1"/>
  </mergeCells>
  <dataValidations count="4">
    <dataValidation type="list" allowBlank="1" showInputMessage="1" showErrorMessage="1" sqref="F14" xr:uid="{72F3BB5F-638F-49B0-81F5-3EA65ED35E7A}">
      <formula1>$M$1:$S$1</formula1>
    </dataValidation>
    <dataValidation type="list" allowBlank="1" showInputMessage="1" showErrorMessage="1" sqref="M18:S18 M21:S21" xr:uid="{F8270EA3-C23E-46B3-9B7C-75FC241906BE}">
      <formula1>$K$27:$K$32</formula1>
    </dataValidation>
    <dataValidation type="list" allowBlank="1" showInputMessage="1" showErrorMessage="1" sqref="Q17:S17 M17:O17 M20:O20 Q20:S20" xr:uid="{F8F8F7B9-6E0F-4B8B-A2EB-332C5A503BAB}">
      <formula1>$L$36:$L$37</formula1>
    </dataValidation>
    <dataValidation type="list" allowBlank="1" showInputMessage="1" showErrorMessage="1" sqref="P20 P17" xr:uid="{992CA3DD-C1B6-49E6-A4ED-EA650B8AA36A}">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Z56"/>
  <sheetViews>
    <sheetView showGridLines="0" tabSelected="1" topLeftCell="B1" zoomScale="130" zoomScaleNormal="130" workbookViewId="0">
      <pane ySplit="3" topLeftCell="A5" activePane="bottomLeft" state="frozen"/>
      <selection activeCell="B1" sqref="B1"/>
      <selection pane="bottomLeft" activeCell="F2" sqref="F2"/>
    </sheetView>
  </sheetViews>
  <sheetFormatPr defaultColWidth="0" defaultRowHeight="19.95" customHeight="1" zeroHeight="1" x14ac:dyDescent="0.3"/>
  <cols>
    <col min="1" max="1" width="8.88671875" style="131" hidden="1" customWidth="1"/>
    <col min="2" max="2" width="4.77734375" style="12" customWidth="1"/>
    <col min="3" max="3" width="5.77734375" style="11" customWidth="1"/>
    <col min="4" max="4" width="24.77734375" style="12" customWidth="1"/>
    <col min="5" max="5" width="8.88671875" style="12" customWidth="1"/>
    <col min="6" max="6" width="20.77734375" style="12" customWidth="1"/>
    <col min="7" max="14" width="8.88671875" style="12" customWidth="1"/>
    <col min="15" max="15" width="10.77734375" style="12" customWidth="1"/>
    <col min="16" max="16" width="10.77734375" customWidth="1"/>
    <col min="17" max="19" width="8.88671875" customWidth="1"/>
    <col min="20" max="20" width="8.88671875" style="12" customWidth="1"/>
    <col min="21" max="24" width="0" style="12" hidden="1" customWidth="1"/>
    <col min="25" max="25" width="8.88671875" style="12" hidden="1" customWidth="1"/>
    <col min="26" max="26" width="0" style="12" hidden="1" customWidth="1"/>
    <col min="27" max="16384" width="8.88671875" style="12" hidden="1"/>
  </cols>
  <sheetData>
    <row r="1" spans="1:20" ht="19.95" customHeight="1" x14ac:dyDescent="0.3">
      <c r="C1" s="48" t="s">
        <v>472</v>
      </c>
      <c r="N1" s="130" t="s">
        <v>421</v>
      </c>
      <c r="O1" s="161">
        <f>Tables!F13</f>
        <v>46266</v>
      </c>
      <c r="P1" s="161"/>
    </row>
    <row r="2" spans="1:20" ht="19.95" customHeight="1" x14ac:dyDescent="0.3">
      <c r="A2" s="133">
        <f>IF(OR(F2="I ACCEPT",F2="I DO NOT ACCEPT"),1,2)</f>
        <v>2</v>
      </c>
      <c r="E2" s="130" t="s">
        <v>422</v>
      </c>
      <c r="F2" s="132" t="s">
        <v>437</v>
      </c>
      <c r="N2" s="130" t="s">
        <v>424</v>
      </c>
      <c r="O2" s="161">
        <f>Tables!B6</f>
        <v>46661</v>
      </c>
      <c r="P2" s="161"/>
    </row>
    <row r="3" spans="1:20" ht="19.95" customHeight="1" x14ac:dyDescent="0.3">
      <c r="A3" s="133">
        <f ca="1">IF(F3="Workbook is Locked and Unavailable",2,1)</f>
        <v>2</v>
      </c>
      <c r="E3" s="130" t="s">
        <v>425</v>
      </c>
      <c r="F3" s="162" t="str">
        <f ca="1">IF(Tables!$B$8,"Workbook is Active","Workbook is Locked and Unavailable")</f>
        <v>Workbook is Locked and Unavailable</v>
      </c>
      <c r="G3" s="162"/>
      <c r="H3" s="162"/>
    </row>
    <row r="4" spans="1:20" ht="19.95" hidden="1" customHeight="1" x14ac:dyDescent="0.3">
      <c r="A4" s="134"/>
      <c r="B4" s="131"/>
      <c r="C4" s="148"/>
      <c r="D4" s="131"/>
      <c r="E4" s="90" t="s">
        <v>427</v>
      </c>
      <c r="F4" s="85"/>
      <c r="G4" s="131"/>
      <c r="H4" s="131"/>
      <c r="I4" s="131"/>
      <c r="J4" s="131"/>
      <c r="K4" s="131"/>
      <c r="L4" s="131"/>
      <c r="M4" s="131"/>
      <c r="N4" s="131"/>
      <c r="O4" s="131"/>
      <c r="P4" s="131"/>
      <c r="Q4" s="131"/>
      <c r="R4" s="131"/>
      <c r="S4" s="131"/>
      <c r="T4" s="131"/>
    </row>
    <row r="5" spans="1:20" ht="19.95" customHeight="1" x14ac:dyDescent="0.3">
      <c r="E5" s="130"/>
    </row>
    <row r="6" spans="1:20" ht="19.95" customHeight="1" x14ac:dyDescent="0.3">
      <c r="D6" s="150"/>
      <c r="E6" s="150" t="s">
        <v>426</v>
      </c>
      <c r="F6" s="12" t="s">
        <v>473</v>
      </c>
    </row>
    <row r="7" spans="1:20" ht="19.95" customHeight="1" x14ac:dyDescent="0.3">
      <c r="D7" s="150"/>
      <c r="E7" s="151"/>
      <c r="F7" s="12" t="str">
        <f>"By clicking I ACCEPT above, you represent that you are (a) preparing a post-construction submittal for "&amp;Tables!$F$38&amp;" and/or"</f>
        <v>By clicking I ACCEPT above, you represent that you are (a) preparing a post-construction submittal for the City of Prattville and/or</v>
      </c>
    </row>
    <row r="8" spans="1:20" ht="19.95" customHeight="1" x14ac:dyDescent="0.3">
      <c r="D8" s="150"/>
      <c r="E8" s="151"/>
      <c r="F8" s="12" t="s">
        <v>474</v>
      </c>
    </row>
    <row r="9" spans="1:20" ht="19.95" customHeight="1" x14ac:dyDescent="0.3">
      <c r="D9" s="150"/>
      <c r="E9" s="151"/>
      <c r="F9" s="12" t="s">
        <v>475</v>
      </c>
    </row>
    <row r="10" spans="1:20" ht="19.95" customHeight="1" x14ac:dyDescent="0.3">
      <c r="D10" s="150"/>
      <c r="E10" s="151"/>
    </row>
    <row r="11" spans="1:20" ht="19.95" customHeight="1" x14ac:dyDescent="0.3">
      <c r="D11" s="150">
        <v>1</v>
      </c>
      <c r="E11" s="5" t="s">
        <v>476</v>
      </c>
    </row>
    <row r="12" spans="1:20" ht="19.95" customHeight="1" x14ac:dyDescent="0.3">
      <c r="A12" s="134"/>
      <c r="D12" s="150"/>
      <c r="E12" s="151"/>
      <c r="F12" s="12" t="s">
        <v>446</v>
      </c>
      <c r="P12" s="12"/>
      <c r="Q12" s="12"/>
      <c r="R12" s="12"/>
      <c r="S12" s="12"/>
    </row>
    <row r="13" spans="1:20" ht="19.95" customHeight="1" x14ac:dyDescent="0.3">
      <c r="C13" s="12"/>
      <c r="D13" s="150"/>
      <c r="E13" s="151"/>
      <c r="F13" s="12" t="str">
        <f>"and submit post-construction application materials to "&amp;Tables!$F$38&amp;" and for the User's internal recordkeeping for those"</f>
        <v>and submit post-construction application materials to the City of Prattville and for the User's internal recordkeeping for those</v>
      </c>
      <c r="P13" s="12"/>
      <c r="Q13" s="12"/>
      <c r="R13" s="12"/>
      <c r="S13" s="12"/>
    </row>
    <row r="14" spans="1:20" ht="19.95" customHeight="1" x14ac:dyDescent="0.3">
      <c r="D14" s="150"/>
      <c r="E14" s="151"/>
      <c r="F14" s="12" t="s">
        <v>447</v>
      </c>
      <c r="P14" s="12"/>
      <c r="Q14" s="12"/>
      <c r="R14" s="12"/>
      <c r="S14" s="12"/>
    </row>
    <row r="15" spans="1:20" ht="19.95" customHeight="1" x14ac:dyDescent="0.3">
      <c r="C15" s="48"/>
      <c r="D15" s="150"/>
      <c r="E15" s="151"/>
      <c r="F15" s="12" t="s">
        <v>477</v>
      </c>
    </row>
    <row r="16" spans="1:20" ht="19.95" customHeight="1" x14ac:dyDescent="0.3">
      <c r="C16" s="48"/>
      <c r="D16" s="150">
        <v>2</v>
      </c>
      <c r="E16" s="5" t="s">
        <v>448</v>
      </c>
    </row>
    <row r="17" spans="4:12" ht="19.95" customHeight="1" x14ac:dyDescent="0.3">
      <c r="D17" s="150"/>
      <c r="E17" s="151"/>
      <c r="F17" s="12" t="s">
        <v>449</v>
      </c>
      <c r="G17" s="149"/>
      <c r="H17" s="149"/>
      <c r="I17" s="149"/>
      <c r="J17" s="149"/>
      <c r="K17" s="149"/>
      <c r="L17" s="149"/>
    </row>
    <row r="18" spans="4:12" ht="19.95" customHeight="1" x14ac:dyDescent="0.3">
      <c r="D18" s="150"/>
      <c r="E18" s="151"/>
      <c r="F18" s="12" t="s">
        <v>450</v>
      </c>
      <c r="G18" s="149"/>
      <c r="H18" s="149"/>
      <c r="I18" s="149"/>
      <c r="J18" s="149"/>
      <c r="K18" s="149"/>
      <c r="L18" s="149"/>
    </row>
    <row r="19" spans="4:12" ht="19.95" customHeight="1" x14ac:dyDescent="0.3">
      <c r="D19" s="150">
        <v>3</v>
      </c>
      <c r="E19" s="151" t="s">
        <v>451</v>
      </c>
    </row>
    <row r="20" spans="4:12" ht="19.95" customHeight="1" x14ac:dyDescent="0.3">
      <c r="D20" s="150"/>
      <c r="E20" s="151"/>
      <c r="F20" s="12" t="s">
        <v>461</v>
      </c>
    </row>
    <row r="21" spans="4:12" ht="19.95" customHeight="1" x14ac:dyDescent="0.3">
      <c r="D21" s="150"/>
      <c r="E21" s="151"/>
      <c r="F21" s="12" t="s">
        <v>478</v>
      </c>
    </row>
    <row r="22" spans="4:12" ht="19.95" customHeight="1" x14ac:dyDescent="0.3">
      <c r="D22" s="150"/>
      <c r="E22" s="151"/>
      <c r="F22" s="12" t="str">
        <f>"forms to the "&amp;Tables!$F$23&amp;" as intended.  The "&amp;Tables!$F$23&amp;" may host and distribute the unmodified Tool to prospective submitters for"</f>
        <v>forms to the City as intended.  The City may host and distribute the unmodified Tool to prospective submitters for</v>
      </c>
      <c r="G22" s="51"/>
      <c r="H22" s="51"/>
      <c r="I22" s="51"/>
      <c r="J22" s="51"/>
      <c r="K22" s="51"/>
      <c r="L22" s="51"/>
    </row>
    <row r="23" spans="4:12" ht="19.95" customHeight="1" x14ac:dyDescent="0.3">
      <c r="D23" s="150"/>
      <c r="E23" s="151"/>
      <c r="F23" s="12" t="s">
        <v>479</v>
      </c>
      <c r="G23" s="51"/>
      <c r="H23" s="51"/>
      <c r="I23" s="51"/>
      <c r="J23" s="51"/>
      <c r="K23" s="51"/>
      <c r="L23" s="51"/>
    </row>
    <row r="24" spans="4:12" ht="19.95" customHeight="1" x14ac:dyDescent="0.3">
      <c r="D24" s="150">
        <v>4</v>
      </c>
      <c r="E24" s="151" t="s">
        <v>452</v>
      </c>
      <c r="G24" s="51"/>
      <c r="H24" s="51"/>
      <c r="I24" s="51"/>
      <c r="J24" s="51"/>
      <c r="K24" s="51"/>
      <c r="L24" s="51"/>
    </row>
    <row r="25" spans="4:12" ht="19.95" customHeight="1" x14ac:dyDescent="0.3">
      <c r="D25" s="150"/>
      <c r="E25" s="151"/>
      <c r="F25" s="12" t="s">
        <v>462</v>
      </c>
      <c r="G25" s="50"/>
      <c r="H25" s="50"/>
      <c r="I25" s="50"/>
      <c r="J25" s="50"/>
      <c r="K25" s="50"/>
      <c r="L25" s="50"/>
    </row>
    <row r="26" spans="4:12" ht="19.95" customHeight="1" x14ac:dyDescent="0.3">
      <c r="D26" s="150"/>
      <c r="E26" s="151"/>
      <c r="F26" s="12" t="s">
        <v>480</v>
      </c>
      <c r="G26" s="50"/>
      <c r="H26" s="50"/>
      <c r="I26" s="50"/>
      <c r="J26" s="50"/>
      <c r="K26" s="50"/>
      <c r="L26" s="50"/>
    </row>
    <row r="27" spans="4:12" ht="19.95" customHeight="1" x14ac:dyDescent="0.3">
      <c r="D27" s="150"/>
      <c r="E27" s="151"/>
      <c r="F27" s="12" t="s">
        <v>481</v>
      </c>
      <c r="G27" s="50"/>
      <c r="H27" s="50"/>
      <c r="I27" s="50"/>
      <c r="J27" s="50"/>
      <c r="K27" s="50"/>
      <c r="L27" s="50"/>
    </row>
    <row r="28" spans="4:12" ht="19.95" customHeight="1" x14ac:dyDescent="0.3">
      <c r="D28" s="150">
        <v>5</v>
      </c>
      <c r="E28" s="151" t="s">
        <v>453</v>
      </c>
      <c r="G28" s="51"/>
      <c r="H28" s="51"/>
      <c r="I28" s="51"/>
      <c r="J28" s="51"/>
      <c r="K28" s="51"/>
      <c r="L28" s="51"/>
    </row>
    <row r="29" spans="4:12" ht="19.95" customHeight="1" x14ac:dyDescent="0.3">
      <c r="D29" s="150"/>
      <c r="E29" s="151"/>
      <c r="F29" s="12" t="str">
        <f>"Outputs and application materials generated with the Tool may be public records of "&amp;Tables!$F$38&amp;"; the Tool itself"</f>
        <v>Outputs and application materials generated with the Tool may be public records of the City of Prattville; the Tool itself</v>
      </c>
      <c r="G29" s="51"/>
      <c r="H29" s="51"/>
      <c r="I29" s="51"/>
      <c r="J29" s="51"/>
      <c r="K29" s="51"/>
      <c r="L29" s="51"/>
    </row>
    <row r="30" spans="4:12" ht="19.95" customHeight="1" x14ac:dyDescent="0.3">
      <c r="D30" s="150"/>
      <c r="E30" s="151"/>
      <c r="F30" s="12" t="s">
        <v>482</v>
      </c>
      <c r="G30" s="51"/>
      <c r="H30" s="51"/>
      <c r="I30" s="51"/>
      <c r="J30" s="51"/>
      <c r="K30" s="51"/>
      <c r="L30" s="51"/>
    </row>
    <row r="31" spans="4:12" ht="19.95" customHeight="1" x14ac:dyDescent="0.3">
      <c r="D31" s="150">
        <v>6</v>
      </c>
      <c r="E31" s="151" t="s">
        <v>484</v>
      </c>
      <c r="G31" s="51"/>
      <c r="H31" s="51"/>
      <c r="I31" s="51"/>
      <c r="J31" s="51"/>
      <c r="K31" s="51"/>
      <c r="L31" s="51"/>
    </row>
    <row r="32" spans="4:12" ht="19.95" customHeight="1" x14ac:dyDescent="0.3">
      <c r="D32" s="150"/>
      <c r="E32" s="151"/>
      <c r="F32" s="12" t="str">
        <f>"The Tool is a convenience aid and does not constitute engineering, legal or compliance advice. The "&amp;Tables!$F$38&amp;"'s standards and"</f>
        <v>The Tool is a convenience aid and does not constitute engineering, legal or compliance advice. The the City of Prattville's standards and</v>
      </c>
      <c r="G32" s="51"/>
      <c r="H32" s="51"/>
      <c r="I32" s="51"/>
      <c r="J32" s="51"/>
      <c r="K32" s="51"/>
      <c r="L32" s="51"/>
    </row>
    <row r="33" spans="4:12" ht="19.95" customHeight="1" x14ac:dyDescent="0.3">
      <c r="D33" s="150"/>
      <c r="E33" s="151"/>
      <c r="F33" s="12" t="s">
        <v>483</v>
      </c>
      <c r="G33" s="51"/>
      <c r="H33" s="51"/>
      <c r="I33" s="51"/>
      <c r="J33" s="51"/>
      <c r="K33" s="51"/>
      <c r="L33" s="51"/>
    </row>
    <row r="34" spans="4:12" ht="19.95" customHeight="1" x14ac:dyDescent="0.3">
      <c r="D34" s="150">
        <v>7</v>
      </c>
      <c r="E34" s="151" t="s">
        <v>454</v>
      </c>
      <c r="G34" s="51"/>
      <c r="H34" s="51"/>
      <c r="I34" s="51"/>
      <c r="J34" s="51"/>
      <c r="K34" s="51"/>
      <c r="L34" s="51"/>
    </row>
    <row r="35" spans="4:12" ht="19.95" customHeight="1" x14ac:dyDescent="0.3">
      <c r="D35" s="150"/>
      <c r="E35" s="151"/>
      <c r="F35" s="12" t="s">
        <v>463</v>
      </c>
      <c r="G35" s="51"/>
      <c r="H35" s="51"/>
      <c r="I35" s="51"/>
      <c r="J35" s="51"/>
      <c r="K35" s="51"/>
      <c r="L35" s="51"/>
    </row>
    <row r="36" spans="4:12" ht="19.95" customHeight="1" x14ac:dyDescent="0.3">
      <c r="D36" s="150"/>
      <c r="E36" s="151"/>
      <c r="F36" s="12" t="s">
        <v>485</v>
      </c>
      <c r="G36" s="51"/>
      <c r="H36" s="51"/>
      <c r="I36" s="51"/>
      <c r="J36" s="51"/>
      <c r="K36" s="51"/>
      <c r="L36" s="51"/>
    </row>
    <row r="37" spans="4:12" ht="19.95" customHeight="1" x14ac:dyDescent="0.3">
      <c r="D37" s="150"/>
      <c r="E37" s="151"/>
      <c r="F37" s="12" t="s">
        <v>464</v>
      </c>
      <c r="G37" s="51"/>
      <c r="H37" s="51"/>
      <c r="I37" s="51"/>
      <c r="J37" s="51"/>
      <c r="K37" s="51"/>
      <c r="L37" s="51"/>
    </row>
    <row r="38" spans="4:12" ht="19.95" customHeight="1" x14ac:dyDescent="0.3">
      <c r="D38" s="150">
        <v>8</v>
      </c>
      <c r="E38" s="151" t="s">
        <v>455</v>
      </c>
    </row>
    <row r="39" spans="4:12" ht="19.95" customHeight="1" x14ac:dyDescent="0.3">
      <c r="D39" s="150"/>
      <c r="E39" s="151"/>
      <c r="F39" s="12" t="s">
        <v>456</v>
      </c>
      <c r="G39" s="51"/>
      <c r="H39" s="51"/>
      <c r="I39" s="51"/>
      <c r="J39" s="51"/>
      <c r="K39" s="51"/>
      <c r="L39" s="51"/>
    </row>
    <row r="40" spans="4:12" ht="19.95" customHeight="1" x14ac:dyDescent="0.3">
      <c r="D40" s="150"/>
      <c r="E40" s="151"/>
      <c r="F40" s="12" t="s">
        <v>457</v>
      </c>
      <c r="G40" s="51"/>
      <c r="H40" s="51"/>
      <c r="I40" s="51"/>
      <c r="J40" s="51"/>
      <c r="K40" s="51"/>
      <c r="L40" s="51"/>
    </row>
    <row r="41" spans="4:12" ht="19.95" customHeight="1" x14ac:dyDescent="0.3">
      <c r="D41" s="150">
        <v>9</v>
      </c>
      <c r="E41" s="151" t="s">
        <v>486</v>
      </c>
      <c r="G41" s="51"/>
      <c r="H41" s="51"/>
      <c r="I41" s="51"/>
      <c r="J41" s="51"/>
      <c r="K41" s="51"/>
      <c r="L41" s="51"/>
    </row>
    <row r="42" spans="4:12" ht="19.95" customHeight="1" x14ac:dyDescent="0.3">
      <c r="D42" s="150"/>
      <c r="E42" s="151"/>
      <c r="F42" s="12" t="s">
        <v>487</v>
      </c>
      <c r="G42" s="51"/>
      <c r="H42" s="51"/>
      <c r="I42" s="51"/>
      <c r="J42" s="51"/>
      <c r="K42" s="51"/>
      <c r="L42" s="51"/>
    </row>
    <row r="43" spans="4:12" ht="19.95" customHeight="1" x14ac:dyDescent="0.3">
      <c r="D43" s="150">
        <v>10</v>
      </c>
      <c r="E43" s="151" t="s">
        <v>488</v>
      </c>
      <c r="G43" s="51"/>
      <c r="H43" s="51"/>
      <c r="I43" s="51"/>
      <c r="J43" s="51"/>
      <c r="K43" s="51"/>
      <c r="L43" s="51"/>
    </row>
    <row r="44" spans="4:12" ht="19.95" customHeight="1" x14ac:dyDescent="0.3">
      <c r="D44" s="150"/>
      <c r="E44" s="151"/>
      <c r="F44" s="12" t="s">
        <v>489</v>
      </c>
      <c r="G44" s="51"/>
      <c r="H44" s="51"/>
      <c r="I44" s="51"/>
      <c r="J44" s="51"/>
      <c r="K44" s="51"/>
      <c r="L44" s="51"/>
    </row>
    <row r="45" spans="4:12" ht="19.95" customHeight="1" x14ac:dyDescent="0.3">
      <c r="D45" s="150"/>
      <c r="E45" s="151"/>
      <c r="F45" s="12" t="s">
        <v>490</v>
      </c>
      <c r="G45" s="51"/>
      <c r="H45" s="51"/>
      <c r="I45" s="51"/>
      <c r="J45" s="51"/>
      <c r="K45" s="51"/>
      <c r="L45" s="51"/>
    </row>
    <row r="46" spans="4:12" ht="19.95" customHeight="1" x14ac:dyDescent="0.3">
      <c r="D46" s="150">
        <v>11</v>
      </c>
      <c r="E46" s="151" t="s">
        <v>491</v>
      </c>
      <c r="G46" s="51"/>
      <c r="H46" s="51"/>
      <c r="I46" s="51"/>
      <c r="J46" s="51"/>
      <c r="K46" s="51"/>
      <c r="L46" s="51"/>
    </row>
    <row r="47" spans="4:12" ht="19.95" customHeight="1" x14ac:dyDescent="0.3">
      <c r="D47" s="150"/>
      <c r="E47" s="151"/>
      <c r="F47" s="12" t="s">
        <v>492</v>
      </c>
      <c r="G47" s="51"/>
      <c r="H47" s="51"/>
      <c r="I47" s="51"/>
      <c r="J47" s="51"/>
      <c r="K47" s="51"/>
      <c r="L47" s="51"/>
    </row>
    <row r="48" spans="4:12" ht="19.95" customHeight="1" x14ac:dyDescent="0.3">
      <c r="D48" s="150"/>
      <c r="E48" s="151"/>
      <c r="F48" s="12" t="s">
        <v>493</v>
      </c>
      <c r="G48" s="51"/>
      <c r="H48" s="51"/>
      <c r="I48" s="51"/>
      <c r="J48" s="51"/>
      <c r="K48" s="51"/>
      <c r="L48" s="51"/>
    </row>
    <row r="49" spans="4:12" ht="19.95" customHeight="1" x14ac:dyDescent="0.3">
      <c r="D49" s="150"/>
      <c r="E49" s="151"/>
      <c r="F49" s="12" t="s">
        <v>494</v>
      </c>
      <c r="G49" s="51"/>
      <c r="H49" s="51"/>
      <c r="I49" s="51"/>
      <c r="J49" s="51"/>
      <c r="K49" s="51"/>
      <c r="L49" s="51"/>
    </row>
    <row r="50" spans="4:12" ht="19.95" customHeight="1" x14ac:dyDescent="0.3">
      <c r="D50" s="150"/>
      <c r="E50" s="151"/>
      <c r="F50" s="12" t="s">
        <v>495</v>
      </c>
      <c r="G50" s="51"/>
      <c r="H50" s="51"/>
      <c r="I50" s="51"/>
      <c r="J50" s="51"/>
      <c r="K50" s="51"/>
      <c r="L50" s="51"/>
    </row>
    <row r="51" spans="4:12" ht="19.95" customHeight="1" x14ac:dyDescent="0.3">
      <c r="D51" s="150">
        <v>12</v>
      </c>
      <c r="E51" s="151" t="s">
        <v>458</v>
      </c>
      <c r="G51" s="51"/>
      <c r="H51" s="51"/>
      <c r="I51" s="51"/>
      <c r="J51" s="51"/>
      <c r="K51" s="51"/>
      <c r="L51" s="51"/>
    </row>
    <row r="52" spans="4:12" ht="19.95" customHeight="1" x14ac:dyDescent="0.3">
      <c r="D52" s="150"/>
      <c r="E52" s="151"/>
      <c r="F52" s="12" t="s">
        <v>496</v>
      </c>
      <c r="G52" s="51"/>
      <c r="H52" s="51"/>
      <c r="I52" s="51"/>
      <c r="J52" s="51"/>
      <c r="K52" s="51"/>
      <c r="L52" s="51"/>
    </row>
    <row r="53" spans="4:12" ht="19.95" customHeight="1" x14ac:dyDescent="0.3">
      <c r="D53" s="150"/>
      <c r="E53" s="151"/>
      <c r="G53" s="51"/>
      <c r="H53" s="51"/>
      <c r="I53" s="51"/>
      <c r="J53" s="51"/>
      <c r="K53" s="51"/>
      <c r="L53" s="51"/>
    </row>
    <row r="54" spans="4:12" ht="19.95" customHeight="1" x14ac:dyDescent="0.3">
      <c r="D54" s="150"/>
      <c r="E54" s="151"/>
    </row>
    <row r="55" spans="4:12" ht="19.95" customHeight="1" x14ac:dyDescent="0.3">
      <c r="D55" s="150"/>
      <c r="E55" s="151"/>
    </row>
    <row r="56" spans="4:12" ht="19.95" hidden="1" customHeight="1" x14ac:dyDescent="0.3">
      <c r="D56" s="150"/>
      <c r="E56" s="151"/>
    </row>
  </sheetData>
  <sheetProtection algorithmName="SHA-512" hashValue="ekjoDKZYJ9XM3gdNh3Fm/cww50CZwfjmGak7QeT4PDQVO0Ire5MVNNAWwUgDDhB8/ObZvW50M7NIbd6XofC2AA==" saltValue="UdDEel+Yf65fLMhd8rZELw==" spinCount="100000" sheet="1" objects="1" scenarios="1" selectLockedCells="1"/>
  <mergeCells count="3">
    <mergeCell ref="O1:P1"/>
    <mergeCell ref="O2:P2"/>
    <mergeCell ref="F3:H3"/>
  </mergeCells>
  <conditionalFormatting sqref="F2">
    <cfRule type="expression" dxfId="294" priority="1341">
      <formula>$A$2=2</formula>
    </cfRule>
  </conditionalFormatting>
  <conditionalFormatting sqref="F3:H3">
    <cfRule type="expression" dxfId="293" priority="1342">
      <formula>$A$3=2</formula>
    </cfRule>
    <cfRule type="expression" dxfId="292" priority="1343">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F620DF-22D6-41D0-8C32-D4606D07BA0C}">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A5401-160D-487A-8F7D-2AD46148F5A5}">
  <sheetPr codeName="Sheet1">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12" customWidth="1"/>
    <col min="2" max="2" width="5.77734375" style="11" customWidth="1"/>
    <col min="3" max="8" width="2.77734375" style="12" customWidth="1"/>
    <col min="9" max="10" width="8.88671875" style="12" customWidth="1"/>
    <col min="11" max="11" width="20.77734375" style="12" customWidth="1"/>
    <col min="12" max="18" width="8.88671875" style="12" customWidth="1"/>
    <col min="19" max="21" width="8.88671875" style="12" hidden="1" customWidth="1"/>
    <col min="22" max="22" width="0" style="12" hidden="1" customWidth="1"/>
    <col min="23" max="16384" width="8.88671875" style="12" hidden="1"/>
  </cols>
  <sheetData>
    <row r="1" spans="2:17" ht="19.95" customHeight="1" x14ac:dyDescent="0.3"/>
    <row r="2" spans="2:17" ht="19.95" customHeight="1" x14ac:dyDescent="0.3">
      <c r="B2" s="48" t="s">
        <v>58</v>
      </c>
    </row>
    <row r="3" spans="2:17" ht="4.95" customHeight="1" x14ac:dyDescent="0.3">
      <c r="B3" s="48"/>
    </row>
    <row r="4" spans="2:17" ht="19.95" customHeight="1" x14ac:dyDescent="0.3">
      <c r="B4" s="11">
        <v>1</v>
      </c>
      <c r="C4" s="166" t="s">
        <v>256</v>
      </c>
      <c r="D4" s="166"/>
      <c r="E4" s="166"/>
      <c r="F4" s="166"/>
      <c r="G4" s="166"/>
      <c r="H4" s="166"/>
      <c r="I4" s="166"/>
      <c r="J4" s="166"/>
      <c r="K4" s="166"/>
      <c r="L4" s="166"/>
      <c r="M4" s="166"/>
      <c r="N4" s="166"/>
      <c r="O4" s="166"/>
      <c r="P4" s="166"/>
      <c r="Q4" s="166"/>
    </row>
    <row r="5" spans="2:17" ht="19.95" customHeight="1" x14ac:dyDescent="0.3">
      <c r="C5" s="166"/>
      <c r="D5" s="166"/>
      <c r="E5" s="166"/>
      <c r="F5" s="166"/>
      <c r="G5" s="166"/>
      <c r="H5" s="166"/>
      <c r="I5" s="166"/>
      <c r="J5" s="166"/>
      <c r="K5" s="166"/>
      <c r="L5" s="166"/>
      <c r="M5" s="166"/>
      <c r="N5" s="166"/>
      <c r="O5" s="166"/>
      <c r="P5" s="166"/>
      <c r="Q5" s="166"/>
    </row>
    <row r="6" spans="2:17" ht="19.95" customHeight="1" x14ac:dyDescent="0.3">
      <c r="B6" s="11">
        <f>B4+1</f>
        <v>2</v>
      </c>
      <c r="C6" s="12" t="s">
        <v>60</v>
      </c>
    </row>
    <row r="7" spans="2:17" ht="19.95" customHeight="1" x14ac:dyDescent="0.3">
      <c r="C7" s="13"/>
      <c r="D7" s="13"/>
      <c r="E7" s="13"/>
      <c r="F7" s="13"/>
      <c r="I7" s="12" t="s">
        <v>57</v>
      </c>
    </row>
    <row r="8" spans="2:17" ht="10.050000000000001" customHeight="1" x14ac:dyDescent="0.3"/>
    <row r="9" spans="2:17" ht="15" customHeight="1" x14ac:dyDescent="0.3">
      <c r="C9" s="14"/>
      <c r="D9" s="14"/>
      <c r="E9" s="14"/>
      <c r="F9" s="14"/>
      <c r="I9" s="165" t="s">
        <v>246</v>
      </c>
      <c r="J9" s="165"/>
      <c r="K9" s="165"/>
      <c r="L9" s="165"/>
      <c r="M9" s="165"/>
      <c r="N9" s="165"/>
      <c r="O9" s="165"/>
      <c r="P9" s="165"/>
      <c r="Q9" s="165"/>
    </row>
    <row r="10" spans="2:17" ht="15" customHeight="1" x14ac:dyDescent="0.3">
      <c r="I10" s="165"/>
      <c r="J10" s="165"/>
      <c r="K10" s="165"/>
      <c r="L10" s="165"/>
      <c r="M10" s="165"/>
      <c r="N10" s="165"/>
      <c r="O10" s="165"/>
      <c r="P10" s="165"/>
      <c r="Q10" s="165"/>
    </row>
    <row r="11" spans="2:17" ht="10.050000000000001" customHeight="1" x14ac:dyDescent="0.3">
      <c r="I11" s="50"/>
      <c r="J11" s="50"/>
      <c r="K11" s="50"/>
      <c r="L11" s="50"/>
      <c r="M11" s="50"/>
      <c r="N11" s="50"/>
      <c r="O11" s="50"/>
      <c r="P11" s="50"/>
      <c r="Q11" s="50"/>
    </row>
    <row r="12" spans="2:17" ht="15" customHeight="1" x14ac:dyDescent="0.3">
      <c r="F12" s="18"/>
      <c r="I12" s="165" t="s">
        <v>193</v>
      </c>
      <c r="J12" s="165"/>
      <c r="K12" s="165"/>
      <c r="L12" s="165"/>
      <c r="M12" s="165"/>
      <c r="N12" s="165"/>
      <c r="O12" s="165"/>
      <c r="P12" s="165"/>
      <c r="Q12" s="165"/>
    </row>
    <row r="13" spans="2:17" ht="15" customHeight="1" x14ac:dyDescent="0.3">
      <c r="I13" s="165"/>
      <c r="J13" s="165"/>
      <c r="K13" s="165"/>
      <c r="L13" s="165"/>
      <c r="M13" s="165"/>
      <c r="N13" s="165"/>
      <c r="O13" s="165"/>
      <c r="P13" s="165"/>
      <c r="Q13" s="165"/>
    </row>
    <row r="14" spans="2:17" ht="15" customHeight="1" x14ac:dyDescent="0.3">
      <c r="I14" s="165"/>
      <c r="J14" s="165"/>
      <c r="K14" s="165"/>
      <c r="L14" s="165"/>
      <c r="M14" s="165"/>
      <c r="N14" s="165"/>
      <c r="O14" s="165"/>
      <c r="P14" s="165"/>
      <c r="Q14" s="165"/>
    </row>
    <row r="15" spans="2:17" ht="15" customHeight="1" x14ac:dyDescent="0.3">
      <c r="I15" s="165"/>
      <c r="J15" s="165"/>
      <c r="K15" s="165"/>
      <c r="L15" s="165"/>
      <c r="M15" s="165"/>
      <c r="N15" s="165"/>
      <c r="O15" s="165"/>
      <c r="P15" s="165"/>
      <c r="Q15" s="165"/>
    </row>
    <row r="16" spans="2:17" ht="10.050000000000001" customHeight="1" x14ac:dyDescent="0.3">
      <c r="I16" s="51"/>
      <c r="J16" s="51"/>
      <c r="K16" s="51"/>
      <c r="L16" s="51"/>
      <c r="M16" s="51"/>
      <c r="N16" s="51"/>
      <c r="O16" s="51"/>
      <c r="P16" s="51"/>
      <c r="Q16" s="51"/>
    </row>
    <row r="17" spans="3:17" ht="15" customHeight="1" x14ac:dyDescent="0.3">
      <c r="C17" s="18"/>
      <c r="D17" s="25" t="s">
        <v>109</v>
      </c>
      <c r="E17" s="25"/>
      <c r="F17" s="18"/>
      <c r="G17" s="25" t="s">
        <v>110</v>
      </c>
      <c r="I17" s="165" t="s">
        <v>165</v>
      </c>
      <c r="J17" s="165"/>
      <c r="K17" s="165"/>
      <c r="L17" s="165"/>
      <c r="M17" s="165"/>
      <c r="N17" s="165"/>
      <c r="O17" s="165"/>
      <c r="P17" s="165"/>
      <c r="Q17" s="165"/>
    </row>
    <row r="18" spans="3:17" ht="15" customHeight="1" x14ac:dyDescent="0.3">
      <c r="I18" s="165"/>
      <c r="J18" s="165"/>
      <c r="K18" s="165"/>
      <c r="L18" s="165"/>
      <c r="M18" s="165"/>
      <c r="N18" s="165"/>
      <c r="O18" s="165"/>
      <c r="P18" s="165"/>
      <c r="Q18" s="165"/>
    </row>
    <row r="19" spans="3:17" ht="10.050000000000001" customHeight="1" x14ac:dyDescent="0.3"/>
    <row r="20" spans="3:17" ht="15" customHeight="1" x14ac:dyDescent="0.3">
      <c r="C20" s="15"/>
      <c r="D20" s="15"/>
      <c r="E20" s="15"/>
      <c r="F20" s="15"/>
      <c r="I20" s="165" t="s">
        <v>59</v>
      </c>
      <c r="J20" s="165"/>
      <c r="K20" s="165"/>
      <c r="L20" s="165"/>
      <c r="M20" s="165"/>
      <c r="N20" s="165"/>
      <c r="O20" s="165"/>
      <c r="P20" s="165"/>
      <c r="Q20" s="165"/>
    </row>
    <row r="21" spans="3:17" ht="15" customHeight="1" x14ac:dyDescent="0.3">
      <c r="I21" s="165"/>
      <c r="J21" s="165"/>
      <c r="K21" s="165"/>
      <c r="L21" s="165"/>
      <c r="M21" s="165"/>
      <c r="N21" s="165"/>
      <c r="O21" s="165"/>
      <c r="P21" s="165"/>
      <c r="Q21" s="165"/>
    </row>
    <row r="22" spans="3:17" ht="15" customHeight="1" x14ac:dyDescent="0.3">
      <c r="I22" s="165"/>
      <c r="J22" s="165"/>
      <c r="K22" s="165"/>
      <c r="L22" s="165"/>
      <c r="M22" s="165"/>
      <c r="N22" s="165"/>
      <c r="O22" s="165"/>
      <c r="P22" s="165"/>
      <c r="Q22" s="165"/>
    </row>
    <row r="23" spans="3:17" ht="19.95" customHeight="1" x14ac:dyDescent="0.3">
      <c r="I23" s="165"/>
      <c r="J23" s="165"/>
      <c r="K23" s="165"/>
      <c r="L23" s="165"/>
      <c r="M23" s="165"/>
      <c r="N23" s="165"/>
      <c r="O23" s="165"/>
      <c r="P23" s="165"/>
      <c r="Q23" s="165"/>
    </row>
    <row r="24" spans="3:17" ht="10.050000000000001" customHeight="1" x14ac:dyDescent="0.3">
      <c r="I24" s="51"/>
      <c r="J24" s="51"/>
      <c r="K24" s="51"/>
      <c r="L24" s="51"/>
      <c r="M24" s="51"/>
      <c r="N24" s="51"/>
      <c r="O24" s="51"/>
      <c r="P24" s="51"/>
      <c r="Q24" s="51"/>
    </row>
    <row r="25" spans="3:17" ht="15" customHeight="1" x14ac:dyDescent="0.3">
      <c r="C25" s="16"/>
      <c r="D25" s="16"/>
      <c r="E25" s="16"/>
      <c r="F25" s="16"/>
      <c r="I25" s="165" t="s">
        <v>101</v>
      </c>
      <c r="J25" s="165"/>
      <c r="K25" s="165"/>
      <c r="L25" s="165"/>
      <c r="M25" s="165"/>
      <c r="N25" s="165"/>
      <c r="O25" s="165"/>
      <c r="P25" s="165"/>
      <c r="Q25" s="165"/>
    </row>
    <row r="26" spans="3:17" ht="15" customHeight="1" x14ac:dyDescent="0.3">
      <c r="I26" s="165"/>
      <c r="J26" s="165"/>
      <c r="K26" s="165"/>
      <c r="L26" s="165"/>
      <c r="M26" s="165"/>
      <c r="N26" s="165"/>
      <c r="O26" s="165"/>
      <c r="P26" s="165"/>
      <c r="Q26" s="165"/>
    </row>
    <row r="27" spans="3:17" ht="10.050000000000001" customHeight="1" x14ac:dyDescent="0.3"/>
    <row r="28" spans="3:17" ht="19.95" customHeight="1" x14ac:dyDescent="0.3">
      <c r="C28" s="17" t="s">
        <v>29</v>
      </c>
      <c r="D28" s="17"/>
      <c r="E28" s="17"/>
      <c r="F28" s="17"/>
      <c r="I28" s="12" t="s">
        <v>257</v>
      </c>
    </row>
    <row r="29" spans="3:17" ht="10.050000000000001" customHeight="1" x14ac:dyDescent="0.3"/>
    <row r="30" spans="3:17" ht="19.95" customHeight="1" x14ac:dyDescent="0.3">
      <c r="C30" s="5" t="s">
        <v>30</v>
      </c>
      <c r="D30" s="5"/>
      <c r="E30" s="5"/>
      <c r="F30" s="5"/>
      <c r="I30" s="12" t="s">
        <v>62</v>
      </c>
    </row>
    <row r="31" spans="3:17" ht="10.050000000000001" customHeight="1" x14ac:dyDescent="0.3"/>
    <row r="32" spans="3:17" ht="19.95" customHeight="1" x14ac:dyDescent="0.3">
      <c r="C32" s="5" t="s">
        <v>22</v>
      </c>
      <c r="D32" s="5"/>
      <c r="E32" s="5"/>
      <c r="F32" s="5"/>
      <c r="I32" s="12" t="s">
        <v>102</v>
      </c>
    </row>
    <row r="33" spans="2:17" ht="10.050000000000001" customHeight="1" x14ac:dyDescent="0.3"/>
    <row r="34" spans="2:17" ht="19.95" customHeight="1" x14ac:dyDescent="0.3">
      <c r="B34" s="11">
        <f>B6+1</f>
        <v>3</v>
      </c>
      <c r="C34" s="12" t="s">
        <v>195</v>
      </c>
    </row>
    <row r="35" spans="2:17" ht="19.95" customHeight="1" x14ac:dyDescent="0.3">
      <c r="B35" s="11">
        <f>B34+1</f>
        <v>4</v>
      </c>
      <c r="C35" s="165" t="s">
        <v>194</v>
      </c>
      <c r="D35" s="165"/>
      <c r="E35" s="165"/>
      <c r="F35" s="165"/>
      <c r="G35" s="165"/>
      <c r="H35" s="165"/>
      <c r="I35" s="165"/>
      <c r="J35" s="165"/>
      <c r="K35" s="165"/>
      <c r="L35" s="165"/>
      <c r="M35" s="165"/>
      <c r="N35" s="165"/>
      <c r="O35" s="165"/>
      <c r="P35" s="165"/>
      <c r="Q35" s="165"/>
    </row>
    <row r="36" spans="2:17" ht="15" customHeight="1" x14ac:dyDescent="0.3">
      <c r="C36" s="165"/>
      <c r="D36" s="165"/>
      <c r="E36" s="165"/>
      <c r="F36" s="165"/>
      <c r="G36" s="165"/>
      <c r="H36" s="165"/>
      <c r="I36" s="165"/>
      <c r="J36" s="165"/>
      <c r="K36" s="165"/>
      <c r="L36" s="165"/>
      <c r="M36" s="165"/>
      <c r="N36" s="165"/>
      <c r="O36" s="165"/>
      <c r="P36" s="165"/>
      <c r="Q36" s="165"/>
    </row>
    <row r="37" spans="2:17" ht="19.95" customHeight="1" x14ac:dyDescent="0.3">
      <c r="B37" s="11">
        <v>5</v>
      </c>
      <c r="C37" s="166" t="s">
        <v>166</v>
      </c>
      <c r="D37" s="166"/>
      <c r="E37" s="166"/>
      <c r="F37" s="166"/>
      <c r="G37" s="166"/>
      <c r="H37" s="166"/>
      <c r="I37" s="166"/>
      <c r="J37" s="166"/>
      <c r="K37" s="166"/>
      <c r="L37" s="166"/>
      <c r="M37" s="166"/>
      <c r="N37" s="166"/>
      <c r="O37" s="166"/>
      <c r="P37" s="166"/>
      <c r="Q37" s="166"/>
    </row>
    <row r="38" spans="2:17" ht="19.95" customHeight="1" x14ac:dyDescent="0.3">
      <c r="C38" s="166"/>
      <c r="D38" s="166"/>
      <c r="E38" s="166"/>
      <c r="F38" s="166"/>
      <c r="G38" s="166"/>
      <c r="H38" s="166"/>
      <c r="I38" s="166"/>
      <c r="J38" s="166"/>
      <c r="K38" s="166"/>
      <c r="L38" s="166"/>
      <c r="M38" s="166"/>
      <c r="N38" s="166"/>
      <c r="O38" s="166"/>
      <c r="P38" s="166"/>
      <c r="Q38" s="166"/>
    </row>
    <row r="39" spans="2:17" ht="12" customHeight="1" x14ac:dyDescent="0.3">
      <c r="C39" s="166"/>
      <c r="D39" s="166"/>
      <c r="E39" s="166"/>
      <c r="F39" s="166"/>
      <c r="G39" s="166"/>
      <c r="H39" s="166"/>
      <c r="I39" s="166"/>
      <c r="J39" s="166"/>
      <c r="K39" s="166"/>
      <c r="L39" s="166"/>
      <c r="M39" s="166"/>
      <c r="N39" s="166"/>
      <c r="O39" s="166"/>
      <c r="P39" s="166"/>
      <c r="Q39" s="166"/>
    </row>
    <row r="40" spans="2:17" ht="19.95" customHeight="1" x14ac:dyDescent="0.3">
      <c r="B40" s="11">
        <v>6</v>
      </c>
      <c r="C40" s="12" t="s">
        <v>241</v>
      </c>
    </row>
    <row r="41" spans="2:17" ht="19.95" customHeight="1" x14ac:dyDescent="0.3"/>
    <row r="42" spans="2:17" ht="19.95" customHeight="1" x14ac:dyDescent="0.3"/>
    <row r="43" spans="2:17" ht="19.95" customHeight="1" x14ac:dyDescent="0.3"/>
    <row r="44" spans="2:17" ht="19.95" customHeight="1" x14ac:dyDescent="0.3"/>
    <row r="45" spans="2:17" ht="19.95" hidden="1" customHeight="1" x14ac:dyDescent="0.3"/>
    <row r="46" spans="2:17" ht="19.95" hidden="1" customHeight="1" x14ac:dyDescent="0.3"/>
    <row r="47" spans="2:17" ht="19.95" hidden="1" customHeight="1" x14ac:dyDescent="0.3"/>
    <row r="48" spans="2:17" ht="19.95" hidden="1" customHeight="1" x14ac:dyDescent="0.3"/>
    <row r="49" ht="19.95" hidden="1" customHeight="1" x14ac:dyDescent="0.3"/>
    <row r="50" ht="19.95" hidden="1" customHeight="1" x14ac:dyDescent="0.3"/>
    <row r="51" ht="19.95" hidden="1" customHeight="1" x14ac:dyDescent="0.3"/>
    <row r="52" ht="19.95" hidden="1" customHeight="1" x14ac:dyDescent="0.3"/>
    <row r="53" ht="19.95" hidden="1" customHeight="1" x14ac:dyDescent="0.3"/>
    <row r="54" ht="19.95" hidden="1" customHeight="1" x14ac:dyDescent="0.3"/>
    <row r="55" ht="19.95" hidden="1" customHeight="1" x14ac:dyDescent="0.3"/>
    <row r="56" ht="19.95" hidden="1" customHeight="1" x14ac:dyDescent="0.3"/>
    <row r="57" ht="19.95" hidden="1" customHeight="1" x14ac:dyDescent="0.3"/>
  </sheetData>
  <sheetProtection algorithmName="SHA-512" hashValue="HoWRW9iHUqGNItlPNuEDqS5SWzYi9Eg5QZYnYKoJc+KXbwyc4/tq6HLTKmBDh3LjKlXKQ0dOxfCExYWT2BiUnw==" saltValue="i9RHDd098pB6Gx9VtuNtBA=="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291" priority="5">
      <formula>ISBLANK(C17)</formula>
    </cfRule>
  </conditionalFormatting>
  <conditionalFormatting sqref="C9:F9">
    <cfRule type="expression" dxfId="290" priority="7">
      <formula>ISBLANK(C9)</formula>
    </cfRule>
  </conditionalFormatting>
  <conditionalFormatting sqref="F12">
    <cfRule type="expression" dxfId="289" priority="6">
      <formula>ISBLANK(F12)</formula>
    </cfRule>
  </conditionalFormatting>
  <conditionalFormatting sqref="F17">
    <cfRule type="expression" dxfId="288" priority="4">
      <formula>ISBLANK(F17)</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E884E09-D6FA-492E-A8D9-2C83493D94B3}">
          <x14:formula1>
            <xm:f>Tables!$H$2:$H$4</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W251"/>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5" customWidth="1"/>
    <col min="2" max="36" width="2.77734375" style="25" customWidth="1"/>
    <col min="37" max="37" width="1.77734375" style="25" customWidth="1"/>
    <col min="38" max="38" width="10.33203125" style="10" hidden="1" customWidth="1"/>
    <col min="39" max="39" width="7.21875" style="10" hidden="1" customWidth="1"/>
    <col min="40" max="40" width="18.88671875" style="10" hidden="1" customWidth="1"/>
    <col min="41" max="42" width="16.109375" style="10" hidden="1" customWidth="1"/>
    <col min="43" max="43" width="8.77734375" style="10" hidden="1" customWidth="1"/>
    <col min="44" max="44" width="20.77734375" style="10" hidden="1" customWidth="1"/>
    <col min="45" max="45" width="20" style="10" hidden="1" customWidth="1"/>
    <col min="46" max="46" width="8.77734375" style="10" hidden="1" customWidth="1"/>
    <col min="47" max="47" width="2.77734375" style="25" customWidth="1"/>
    <col min="48" max="48" width="3.77734375" style="25" customWidth="1"/>
    <col min="49" max="86" width="2.77734375" style="25" customWidth="1"/>
    <col min="87" max="89" width="2.77734375" style="25" hidden="1" customWidth="1"/>
    <col min="90" max="90" width="8.77734375" style="25" hidden="1" customWidth="1"/>
    <col min="91" max="101" width="0" style="25" hidden="1" customWidth="1"/>
    <col min="102" max="16384" width="8.88671875" style="25" hidden="1"/>
  </cols>
  <sheetData>
    <row r="1" spans="2:101" ht="15" customHeight="1" x14ac:dyDescent="0.3">
      <c r="O1" s="3"/>
      <c r="P1" s="3"/>
      <c r="Q1" s="3"/>
      <c r="S1" s="21"/>
      <c r="T1" s="168" t="s">
        <v>319</v>
      </c>
      <c r="U1" s="168"/>
      <c r="V1" s="168"/>
      <c r="W1" s="168"/>
      <c r="X1" s="168"/>
      <c r="Y1" s="168"/>
      <c r="Z1" s="168"/>
      <c r="AA1" s="168"/>
      <c r="AB1" s="168"/>
      <c r="AC1" s="168"/>
      <c r="AD1" s="168"/>
      <c r="AE1" s="168"/>
      <c r="AF1" s="168"/>
      <c r="AG1" s="168"/>
      <c r="AH1" s="168"/>
      <c r="AI1" s="168"/>
      <c r="AJ1" s="168"/>
      <c r="AK1" s="168"/>
      <c r="AL1" s="60"/>
      <c r="AM1" s="60"/>
      <c r="AN1" s="60"/>
      <c r="AO1" s="60"/>
      <c r="AP1" s="60"/>
      <c r="AQ1" s="60"/>
      <c r="AR1" s="60"/>
      <c r="AS1" s="60"/>
      <c r="AT1" s="60"/>
      <c r="AU1" s="21"/>
      <c r="BL1" s="168" t="str">
        <f>T1</f>
        <v>Form 2F.1 - Permeable Pavement
Design Form</v>
      </c>
      <c r="BM1" s="168"/>
      <c r="BN1" s="168"/>
      <c r="BO1" s="168"/>
      <c r="BP1" s="168"/>
      <c r="BQ1" s="168"/>
      <c r="BR1" s="168"/>
      <c r="BS1" s="168"/>
      <c r="BT1" s="168"/>
      <c r="BU1" s="168"/>
      <c r="BV1" s="168"/>
      <c r="BW1" s="168"/>
      <c r="BX1" s="168"/>
      <c r="BY1" s="168"/>
      <c r="BZ1" s="168"/>
      <c r="CA1" s="168"/>
      <c r="CB1" s="168"/>
      <c r="CC1" s="168"/>
      <c r="CD1" s="22"/>
      <c r="CE1" s="22"/>
      <c r="CF1" s="22"/>
      <c r="CG1" s="22"/>
      <c r="CR1" s="61"/>
      <c r="CS1" s="61"/>
      <c r="CT1" s="61"/>
      <c r="CU1" s="61"/>
      <c r="CV1" s="61"/>
      <c r="CW1" s="61"/>
    </row>
    <row r="2" spans="2:101" ht="15" customHeight="1" x14ac:dyDescent="0.3">
      <c r="J2" s="3"/>
      <c r="K2" s="3"/>
      <c r="L2" s="3"/>
      <c r="M2" s="3"/>
      <c r="N2" s="3"/>
      <c r="O2" s="3"/>
      <c r="P2" s="3"/>
      <c r="Q2" s="3"/>
      <c r="R2" s="21"/>
      <c r="S2" s="21"/>
      <c r="T2" s="168"/>
      <c r="U2" s="168"/>
      <c r="V2" s="168"/>
      <c r="W2" s="168"/>
      <c r="X2" s="168"/>
      <c r="Y2" s="168"/>
      <c r="Z2" s="168"/>
      <c r="AA2" s="168"/>
      <c r="AB2" s="168"/>
      <c r="AC2" s="168"/>
      <c r="AD2" s="168"/>
      <c r="AE2" s="168"/>
      <c r="AF2" s="168"/>
      <c r="AG2" s="168"/>
      <c r="AH2" s="168"/>
      <c r="AI2" s="168"/>
      <c r="AJ2" s="168"/>
      <c r="AK2" s="168"/>
      <c r="AL2" s="60"/>
      <c r="AM2" s="60"/>
      <c r="AN2" s="60"/>
      <c r="AO2" s="60"/>
      <c r="AP2" s="60"/>
      <c r="BK2" s="21"/>
      <c r="BL2" s="168"/>
      <c r="BM2" s="168"/>
      <c r="BN2" s="168"/>
      <c r="BO2" s="168"/>
      <c r="BP2" s="168"/>
      <c r="BQ2" s="168"/>
      <c r="BR2" s="168"/>
      <c r="BS2" s="168"/>
      <c r="BT2" s="168"/>
      <c r="BU2" s="168"/>
      <c r="BV2" s="168"/>
      <c r="BW2" s="168"/>
      <c r="BX2" s="168"/>
      <c r="BY2" s="168"/>
      <c r="BZ2" s="168"/>
      <c r="CA2" s="168"/>
      <c r="CB2" s="168"/>
      <c r="CC2" s="168"/>
      <c r="CD2" s="22"/>
      <c r="CE2" s="22"/>
      <c r="CF2" s="22"/>
      <c r="CG2" s="22"/>
      <c r="CL2" s="61"/>
      <c r="CR2" s="61"/>
      <c r="CS2" s="61"/>
      <c r="CT2" s="61"/>
      <c r="CU2" s="61"/>
      <c r="CV2" s="61"/>
      <c r="CW2" s="61"/>
    </row>
    <row r="3" spans="2:101" ht="15" customHeight="1" x14ac:dyDescent="0.3">
      <c r="J3" s="3"/>
      <c r="K3" s="3"/>
      <c r="L3" s="3"/>
      <c r="M3" s="3"/>
      <c r="N3" s="3"/>
      <c r="O3" s="3"/>
      <c r="P3" s="3"/>
      <c r="Q3" s="3"/>
      <c r="R3" s="21"/>
      <c r="S3" s="21"/>
      <c r="T3" s="168"/>
      <c r="U3" s="168"/>
      <c r="V3" s="168"/>
      <c r="W3" s="168"/>
      <c r="X3" s="168"/>
      <c r="Y3" s="168"/>
      <c r="Z3" s="168"/>
      <c r="AA3" s="168"/>
      <c r="AB3" s="168"/>
      <c r="AC3" s="168"/>
      <c r="AD3" s="168"/>
      <c r="AE3" s="168"/>
      <c r="AF3" s="168"/>
      <c r="AG3" s="168"/>
      <c r="AH3" s="168"/>
      <c r="AI3" s="168"/>
      <c r="AJ3" s="168"/>
      <c r="AK3" s="168"/>
      <c r="AL3" s="60"/>
      <c r="AM3" s="60"/>
      <c r="AN3" s="60"/>
      <c r="AO3" s="60"/>
      <c r="AP3" s="60"/>
      <c r="BK3" s="21"/>
      <c r="BL3" s="168"/>
      <c r="BM3" s="168"/>
      <c r="BN3" s="168"/>
      <c r="BO3" s="168"/>
      <c r="BP3" s="168"/>
      <c r="BQ3" s="168"/>
      <c r="BR3" s="168"/>
      <c r="BS3" s="168"/>
      <c r="BT3" s="168"/>
      <c r="BU3" s="168"/>
      <c r="BV3" s="168"/>
      <c r="BW3" s="168"/>
      <c r="BX3" s="168"/>
      <c r="BY3" s="168"/>
      <c r="BZ3" s="168"/>
      <c r="CA3" s="168"/>
      <c r="CB3" s="168"/>
      <c r="CC3" s="168"/>
      <c r="CD3" s="22"/>
      <c r="CE3" s="22"/>
      <c r="CF3" s="22"/>
      <c r="CG3" s="22"/>
      <c r="CL3" s="61"/>
      <c r="CR3" s="61"/>
      <c r="CS3" s="61"/>
      <c r="CT3" s="61"/>
      <c r="CU3" s="61"/>
      <c r="CV3" s="61"/>
      <c r="CW3" s="61"/>
    </row>
    <row r="4" spans="2:101" ht="15" customHeight="1" x14ac:dyDescent="0.3">
      <c r="J4" s="3"/>
      <c r="K4" s="3"/>
      <c r="T4" s="168"/>
      <c r="U4" s="168"/>
      <c r="V4" s="168"/>
      <c r="W4" s="168"/>
      <c r="X4" s="168"/>
      <c r="Y4" s="168"/>
      <c r="Z4" s="168"/>
      <c r="AA4" s="168"/>
      <c r="AB4" s="168"/>
      <c r="AC4" s="168"/>
      <c r="AD4" s="168"/>
      <c r="AE4" s="168"/>
      <c r="AF4" s="168"/>
      <c r="AG4" s="168"/>
      <c r="AH4" s="168"/>
      <c r="AI4" s="168"/>
      <c r="AJ4" s="168"/>
      <c r="AK4" s="168"/>
      <c r="AL4" s="60"/>
      <c r="AM4" s="60"/>
      <c r="AN4" s="60"/>
      <c r="AO4" s="60"/>
      <c r="AP4" s="60"/>
      <c r="BK4" s="21"/>
      <c r="BL4" s="168"/>
      <c r="BM4" s="168"/>
      <c r="BN4" s="168"/>
      <c r="BO4" s="168"/>
      <c r="BP4" s="168"/>
      <c r="BQ4" s="168"/>
      <c r="BR4" s="168"/>
      <c r="BS4" s="168"/>
      <c r="BT4" s="168"/>
      <c r="BU4" s="168"/>
      <c r="BV4" s="168"/>
      <c r="BW4" s="168"/>
      <c r="BX4" s="168"/>
      <c r="BY4" s="168"/>
      <c r="BZ4" s="168"/>
      <c r="CA4" s="168"/>
      <c r="CB4" s="168"/>
      <c r="CC4" s="168"/>
      <c r="CD4" s="22"/>
      <c r="CE4" s="22"/>
      <c r="CF4" s="22"/>
      <c r="CG4" s="22"/>
      <c r="CL4" s="61"/>
      <c r="CR4" s="61"/>
      <c r="CS4" s="61"/>
      <c r="CT4" s="61"/>
      <c r="CU4" s="61"/>
      <c r="CV4" s="61"/>
      <c r="CW4" s="61"/>
    </row>
    <row r="5" spans="2:101" ht="4.95" customHeight="1" x14ac:dyDescent="0.3">
      <c r="J5" s="3"/>
      <c r="K5" s="3"/>
      <c r="L5" s="3"/>
      <c r="M5" s="3"/>
      <c r="N5" s="3"/>
      <c r="O5" s="3"/>
      <c r="P5" s="3"/>
      <c r="Q5" s="3"/>
      <c r="R5" s="22"/>
      <c r="S5" s="22"/>
      <c r="T5" s="22"/>
      <c r="U5" s="22"/>
      <c r="V5" s="22"/>
      <c r="W5" s="22"/>
      <c r="X5" s="22"/>
      <c r="Y5" s="22"/>
      <c r="Z5" s="22"/>
      <c r="AA5" s="22"/>
      <c r="AB5" s="22"/>
      <c r="AC5" s="22"/>
      <c r="AD5" s="22"/>
      <c r="AE5" s="22"/>
      <c r="AF5" s="22"/>
      <c r="AG5" s="22"/>
      <c r="AH5" s="22"/>
      <c r="AI5" s="22"/>
      <c r="AJ5" s="22"/>
      <c r="AL5" s="60"/>
      <c r="AM5" s="60"/>
      <c r="AN5" s="60"/>
      <c r="AO5" s="60"/>
      <c r="AP5" s="60"/>
    </row>
    <row r="6" spans="2:101" ht="13.95" customHeight="1" x14ac:dyDescent="0.3">
      <c r="B6" s="1" t="s">
        <v>0</v>
      </c>
      <c r="C6" s="1"/>
      <c r="D6" s="1"/>
      <c r="E6" s="1"/>
      <c r="F6" s="1"/>
      <c r="G6" s="1"/>
      <c r="H6" s="1"/>
      <c r="I6" s="1"/>
      <c r="AB6" s="2" t="s">
        <v>366</v>
      </c>
      <c r="AC6" s="175"/>
      <c r="AD6" s="175"/>
      <c r="AE6" s="175"/>
      <c r="AF6" s="175"/>
      <c r="AG6" s="175"/>
      <c r="AH6" s="175"/>
      <c r="AI6" s="175"/>
      <c r="AJ6" s="175"/>
      <c r="AV6" s="214" t="s">
        <v>61</v>
      </c>
      <c r="AW6" s="214"/>
      <c r="AX6" s="214"/>
      <c r="AY6" s="214"/>
      <c r="AZ6" s="214"/>
      <c r="BA6" s="214"/>
      <c r="BB6" s="214"/>
      <c r="BC6" s="214"/>
      <c r="BD6" s="214"/>
      <c r="BE6" s="214"/>
      <c r="BF6" s="214"/>
      <c r="BG6" s="214"/>
      <c r="BH6" s="214"/>
      <c r="BI6" s="214"/>
      <c r="BJ6" s="78"/>
      <c r="BK6" s="78"/>
      <c r="BL6" s="58"/>
      <c r="BM6" s="58"/>
      <c r="BN6" s="58"/>
      <c r="BO6" s="58"/>
      <c r="BP6" s="58"/>
      <c r="BQ6" s="58"/>
      <c r="BR6" s="58"/>
      <c r="BS6" s="58"/>
      <c r="BT6" s="58"/>
      <c r="BU6" s="58"/>
      <c r="BV6" s="58"/>
      <c r="BW6" s="58"/>
      <c r="BX6" s="58"/>
      <c r="BY6" s="58"/>
      <c r="BZ6" s="58"/>
      <c r="CA6" s="58"/>
      <c r="CB6" s="58"/>
      <c r="CC6" s="58"/>
      <c r="CD6" s="58"/>
      <c r="CE6" s="58"/>
      <c r="CF6" s="58"/>
      <c r="CG6" s="58"/>
      <c r="CH6" s="58"/>
      <c r="CI6" s="58"/>
    </row>
    <row r="7" spans="2:101" ht="13.95" customHeight="1" x14ac:dyDescent="0.3">
      <c r="D7" s="2" t="s">
        <v>118</v>
      </c>
      <c r="E7" s="172"/>
      <c r="F7" s="172"/>
      <c r="G7" s="172"/>
      <c r="H7" s="172"/>
      <c r="I7" s="172"/>
      <c r="J7" s="172"/>
      <c r="K7" s="172"/>
      <c r="L7" s="172"/>
      <c r="M7" s="172"/>
      <c r="N7" s="172"/>
      <c r="O7" s="172"/>
      <c r="P7" s="172"/>
      <c r="Q7" s="172"/>
      <c r="R7" s="172"/>
      <c r="S7" s="172"/>
      <c r="T7" s="172"/>
      <c r="U7" s="172"/>
      <c r="V7" s="172"/>
      <c r="W7" s="172"/>
      <c r="X7" s="172"/>
      <c r="AD7" s="2" t="s">
        <v>20</v>
      </c>
      <c r="AE7" s="207"/>
      <c r="AF7" s="207"/>
      <c r="AG7" s="207"/>
      <c r="AH7" s="207"/>
      <c r="AI7" s="207"/>
      <c r="AJ7" s="207"/>
      <c r="AV7" s="214"/>
      <c r="AW7" s="214"/>
      <c r="AX7" s="214"/>
      <c r="AY7" s="214"/>
      <c r="AZ7" s="214"/>
      <c r="BA7" s="214"/>
      <c r="BB7" s="214"/>
      <c r="BC7" s="214"/>
      <c r="BD7" s="214"/>
      <c r="BE7" s="214"/>
      <c r="BF7" s="214"/>
      <c r="BG7" s="214"/>
      <c r="BH7" s="214"/>
      <c r="BI7" s="214"/>
      <c r="BJ7" s="78"/>
      <c r="BK7" s="78"/>
      <c r="BZ7" s="58"/>
      <c r="CA7" s="58"/>
      <c r="CB7" s="58"/>
      <c r="CC7" s="58"/>
      <c r="CD7" s="58"/>
      <c r="CE7" s="58"/>
      <c r="CF7" s="58"/>
      <c r="CG7" s="58"/>
      <c r="CH7" s="58"/>
      <c r="CI7" s="58"/>
    </row>
    <row r="8" spans="2:101" ht="13.95" customHeight="1" x14ac:dyDescent="0.3">
      <c r="D8" s="2" t="s">
        <v>119</v>
      </c>
      <c r="E8" s="210"/>
      <c r="F8" s="210"/>
      <c r="G8" s="210"/>
      <c r="H8" s="210"/>
      <c r="I8" s="210"/>
      <c r="J8" s="210"/>
      <c r="K8" s="210"/>
      <c r="L8" s="210"/>
      <c r="M8" s="210"/>
      <c r="N8" s="210"/>
      <c r="O8" s="210"/>
      <c r="P8" s="210"/>
      <c r="Q8" s="210"/>
      <c r="R8" s="210"/>
      <c r="S8" s="210"/>
      <c r="T8" s="210"/>
      <c r="U8" s="210"/>
      <c r="V8" s="210"/>
      <c r="W8" s="210"/>
      <c r="X8" s="210"/>
      <c r="AD8" s="2" t="s">
        <v>31</v>
      </c>
      <c r="AE8" s="208"/>
      <c r="AF8" s="208"/>
      <c r="AG8" s="208"/>
      <c r="AH8" s="208"/>
      <c r="AI8" s="208"/>
      <c r="AJ8" s="208"/>
      <c r="AV8" s="79" t="s">
        <v>103</v>
      </c>
      <c r="BJ8" s="78"/>
      <c r="BK8" s="78"/>
      <c r="BZ8" s="58"/>
      <c r="CA8" s="58"/>
      <c r="CB8" s="58"/>
      <c r="CC8" s="58"/>
      <c r="CD8" s="58"/>
      <c r="CE8" s="58"/>
      <c r="CF8" s="58"/>
      <c r="CG8" s="58"/>
      <c r="CH8" s="58"/>
      <c r="CI8" s="58"/>
    </row>
    <row r="9" spans="2:101"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62"/>
      <c r="AM9" s="62"/>
      <c r="AN9" s="62"/>
      <c r="AO9" s="62"/>
      <c r="AP9" s="62"/>
      <c r="AV9" s="80">
        <v>1</v>
      </c>
      <c r="AW9" s="79" t="s">
        <v>497</v>
      </c>
      <c r="AZ9" s="78"/>
      <c r="BA9" s="78"/>
      <c r="BB9" s="78"/>
      <c r="BC9" s="78"/>
      <c r="BD9" s="78"/>
      <c r="BE9" s="78"/>
      <c r="BF9" s="78"/>
      <c r="BG9" s="78"/>
      <c r="BH9" s="78"/>
      <c r="BI9" s="78"/>
      <c r="BJ9" s="78"/>
      <c r="BK9" s="78"/>
      <c r="BL9" s="58"/>
      <c r="BM9" s="58"/>
      <c r="BN9" s="58"/>
      <c r="BO9" s="58"/>
      <c r="BP9" s="58"/>
      <c r="BQ9" s="58"/>
      <c r="BR9" s="58"/>
      <c r="BS9" s="58"/>
      <c r="BT9" s="58"/>
      <c r="BU9" s="58"/>
      <c r="BV9" s="58"/>
      <c r="BW9" s="58"/>
      <c r="BX9" s="58"/>
      <c r="BY9" s="58"/>
      <c r="BZ9" s="58"/>
      <c r="CA9" s="58"/>
      <c r="CB9" s="58"/>
      <c r="CC9" s="58"/>
      <c r="CD9" s="58"/>
      <c r="CE9" s="58"/>
      <c r="CF9" s="58"/>
      <c r="CG9" s="58"/>
      <c r="CH9" s="58"/>
      <c r="CI9" s="58"/>
    </row>
    <row r="10" spans="2:101" ht="13.95" customHeight="1" x14ac:dyDescent="0.3">
      <c r="E10" s="2" t="s">
        <v>158</v>
      </c>
      <c r="F10" s="156"/>
      <c r="G10" s="25" t="s">
        <v>113</v>
      </c>
      <c r="M10" s="156"/>
      <c r="N10" s="25" t="s">
        <v>114</v>
      </c>
      <c r="T10" s="156"/>
      <c r="U10" s="25" t="s">
        <v>115</v>
      </c>
      <c r="AC10" s="156"/>
      <c r="AD10" s="25" t="str">
        <f>" "&amp;Tables!F37</f>
        <v xml:space="preserve"> Release Agreement</v>
      </c>
      <c r="AV10" s="80">
        <f>AV9+1</f>
        <v>2</v>
      </c>
      <c r="AW10" s="79" t="s">
        <v>499</v>
      </c>
      <c r="AX10" s="78"/>
      <c r="AY10" s="78"/>
      <c r="AZ10" s="78"/>
      <c r="BA10" s="78"/>
      <c r="BB10" s="78"/>
      <c r="BC10" s="78"/>
      <c r="BD10" s="78"/>
      <c r="BE10" s="78"/>
      <c r="BF10" s="78"/>
      <c r="BG10" s="78"/>
      <c r="BH10" s="78"/>
      <c r="BI10" s="78"/>
      <c r="BJ10" s="78"/>
      <c r="BK10" s="7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row>
    <row r="11" spans="2:101" ht="4.95" customHeight="1" x14ac:dyDescent="0.3">
      <c r="C11" s="2"/>
      <c r="D11" s="2"/>
      <c r="E11" s="2"/>
      <c r="F11" s="2"/>
      <c r="G11" s="2"/>
      <c r="H11" s="2"/>
      <c r="I11" s="2"/>
      <c r="AV11" s="80"/>
      <c r="AX11" s="78"/>
      <c r="AY11" s="78"/>
      <c r="AZ11" s="78"/>
      <c r="BA11" s="78"/>
      <c r="BB11" s="78"/>
      <c r="BC11" s="78"/>
      <c r="BD11" s="78"/>
      <c r="BE11" s="78"/>
      <c r="BF11" s="78"/>
      <c r="BG11" s="78"/>
      <c r="BH11" s="78"/>
      <c r="BI11" s="78"/>
      <c r="BJ11" s="78"/>
      <c r="BK11" s="7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row>
    <row r="12" spans="2:101" ht="13.95" customHeight="1" x14ac:dyDescent="0.3">
      <c r="C12" s="2"/>
      <c r="D12" s="2"/>
      <c r="E12" s="2"/>
      <c r="F12" s="156"/>
      <c r="G12" s="25" t="s">
        <v>168</v>
      </c>
      <c r="M12" s="156"/>
      <c r="N12" s="25" t="s">
        <v>169</v>
      </c>
      <c r="AV12" s="80"/>
      <c r="AW12" s="25" t="s">
        <v>498</v>
      </c>
      <c r="AY12" s="78"/>
      <c r="AZ12" s="78"/>
      <c r="BA12" s="78"/>
      <c r="BB12" s="78"/>
      <c r="BC12" s="78"/>
      <c r="BD12" s="78"/>
      <c r="BE12" s="78"/>
      <c r="BF12" s="78"/>
      <c r="BG12" s="78"/>
      <c r="BH12" s="78"/>
      <c r="BI12" s="78"/>
      <c r="BJ12" s="78"/>
      <c r="BK12" s="7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row>
    <row r="13" spans="2:101" ht="15" customHeight="1" x14ac:dyDescent="0.3">
      <c r="C13" s="2"/>
      <c r="D13" s="2"/>
      <c r="E13" s="2"/>
      <c r="F13" s="2"/>
      <c r="G13" s="2"/>
      <c r="H13" s="2"/>
      <c r="I13" s="2"/>
      <c r="AV13" s="80">
        <f>AV10+1</f>
        <v>3</v>
      </c>
      <c r="AW13" s="79" t="s">
        <v>548</v>
      </c>
      <c r="AY13" s="78"/>
      <c r="AZ13" s="78"/>
      <c r="BA13" s="78"/>
      <c r="BB13" s="78"/>
      <c r="BC13" s="78"/>
      <c r="BD13" s="78"/>
      <c r="BE13" s="78"/>
      <c r="BF13" s="78"/>
      <c r="BG13" s="78"/>
      <c r="BH13" s="78"/>
      <c r="BI13" s="78"/>
      <c r="BJ13" s="78"/>
      <c r="BK13" s="7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row>
    <row r="14" spans="2:101" ht="13.95" customHeight="1" x14ac:dyDescent="0.3">
      <c r="D14" s="2"/>
      <c r="F14" s="2" t="s">
        <v>310</v>
      </c>
      <c r="G14" s="156"/>
      <c r="H14" s="9" t="s">
        <v>275</v>
      </c>
      <c r="J14" s="156"/>
      <c r="K14" s="9" t="s">
        <v>276</v>
      </c>
      <c r="Z14" s="2" t="s">
        <v>311</v>
      </c>
      <c r="AA14" s="173"/>
      <c r="AB14" s="173"/>
      <c r="AC14" s="173"/>
      <c r="AD14" s="173"/>
      <c r="AE14" s="174" t="str">
        <f>IF($AM$16=0,"Units?",IF($AM$16=1,"ac",IF($AM$16=2,"sq-ft","Error")))</f>
        <v>Units?</v>
      </c>
      <c r="AF14" s="174"/>
      <c r="AL14" s="83">
        <f>IF(AND(ISBLANK(G14),ISBLANK(J14)),1,2)</f>
        <v>1</v>
      </c>
      <c r="AM14" s="83">
        <f>IF(ISBLANK(G14),0,1)</f>
        <v>0</v>
      </c>
      <c r="AO14" s="62" t="s">
        <v>312</v>
      </c>
      <c r="AP14" s="110">
        <f>IF($AM$16=2,AA15/43560,AA15)</f>
        <v>0</v>
      </c>
      <c r="AQ14" s="10" t="s">
        <v>313</v>
      </c>
      <c r="AW14" s="25" t="str">
        <f>"Hydrology for Small Watersheds Technical Release 55 (TR-55) or equivalent as approved by the "&amp;Tables!$F$23&amp;" Engineer"</f>
        <v>Hydrology for Small Watersheds Technical Release 55 (TR-55) or equivalent as approved by the City Engineer</v>
      </c>
      <c r="AY14" s="78"/>
      <c r="AZ14" s="78"/>
      <c r="BA14" s="78"/>
      <c r="BB14" s="78"/>
      <c r="BC14" s="78"/>
      <c r="BD14" s="78"/>
      <c r="BE14" s="78"/>
      <c r="BF14" s="78"/>
      <c r="BG14" s="78"/>
      <c r="BH14" s="78"/>
      <c r="BI14" s="78"/>
      <c r="BJ14" s="78"/>
      <c r="BK14" s="7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row>
    <row r="15" spans="2:101" ht="13.95" customHeight="1" x14ac:dyDescent="0.3">
      <c r="B15" s="25" t="s">
        <v>2</v>
      </c>
      <c r="Z15" s="2" t="s">
        <v>314</v>
      </c>
      <c r="AA15" s="206"/>
      <c r="AB15" s="206"/>
      <c r="AC15" s="206"/>
      <c r="AD15" s="206"/>
      <c r="AE15" s="174" t="str">
        <f>IF($AM$16=0,"Units?",IF($AM$16=1,"ac",IF($AM$16=2,"sq-ft","Error")))</f>
        <v>Units?</v>
      </c>
      <c r="AF15" s="174"/>
      <c r="AM15" s="83">
        <f>IF(ISBLANK(J14),0,2)</f>
        <v>0</v>
      </c>
      <c r="AN15" s="62"/>
      <c r="AO15" s="62" t="s">
        <v>315</v>
      </c>
      <c r="AP15" s="110">
        <f>IF($AM$16=2,J21/43560,J21)</f>
        <v>0</v>
      </c>
      <c r="AQ15" s="10" t="s">
        <v>313</v>
      </c>
      <c r="AV15" s="80">
        <f>AV13+1</f>
        <v>4</v>
      </c>
      <c r="AW15" s="79" t="s">
        <v>342</v>
      </c>
      <c r="AX15" s="78"/>
      <c r="AY15" s="78"/>
      <c r="AZ15" s="78"/>
      <c r="BA15" s="78"/>
      <c r="BB15" s="78"/>
      <c r="BC15" s="78"/>
      <c r="BD15" s="78"/>
      <c r="BE15" s="78"/>
      <c r="BF15" s="78"/>
      <c r="BG15" s="78"/>
      <c r="BH15" s="78"/>
      <c r="BI15" s="78"/>
      <c r="BJ15" s="78"/>
      <c r="BK15" s="7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row>
    <row r="16" spans="2:101" ht="13.95" customHeight="1" x14ac:dyDescent="0.3">
      <c r="D16" s="2"/>
      <c r="E16" s="2"/>
      <c r="F16" s="2"/>
      <c r="G16" s="2"/>
      <c r="I16" s="2" t="s">
        <v>159</v>
      </c>
      <c r="J16" s="173"/>
      <c r="K16" s="173"/>
      <c r="L16" s="173"/>
      <c r="M16" s="173"/>
      <c r="N16" s="174" t="str">
        <f t="shared" ref="N16:N21" si="0">IF($AM$16=0,"Units?",IF($AM$16=1,"ac",IF($AM$16=2,"sq-ft","Error")))</f>
        <v>Units?</v>
      </c>
      <c r="O16" s="174"/>
      <c r="S16" s="25" t="s">
        <v>47</v>
      </c>
      <c r="AM16" s="83">
        <f>SUM(AM14:AM15)</f>
        <v>0</v>
      </c>
      <c r="AN16" s="10" t="s">
        <v>316</v>
      </c>
      <c r="AO16" s="62" t="s">
        <v>317</v>
      </c>
      <c r="AP16" s="110">
        <f>AP15-AP14</f>
        <v>0</v>
      </c>
      <c r="AQ16" s="10" t="s">
        <v>313</v>
      </c>
      <c r="AW16" s="79" t="str">
        <f>"pre-development hydrology for the "&amp;Tables!F28&amp;"-year, 24-your rainfall depths"</f>
        <v>pre-development hydrology for the 2, 5, 10, 25, 50, and 100-year, 24-your rainfall depths</v>
      </c>
      <c r="AX16" s="78"/>
      <c r="AY16" s="78"/>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row>
    <row r="17" spans="2:87" ht="13.95" customHeight="1" x14ac:dyDescent="0.3">
      <c r="D17" s="2"/>
      <c r="E17" s="2"/>
      <c r="F17" s="2"/>
      <c r="G17" s="2"/>
      <c r="I17" s="2" t="s">
        <v>160</v>
      </c>
      <c r="J17" s="167"/>
      <c r="K17" s="167"/>
      <c r="L17" s="167"/>
      <c r="M17" s="167"/>
      <c r="N17" s="174" t="str">
        <f t="shared" si="0"/>
        <v>Units?</v>
      </c>
      <c r="O17" s="174"/>
      <c r="V17" s="2" t="s">
        <v>48</v>
      </c>
      <c r="W17" s="202">
        <f>IF(AL17=1,"0.00",IFERROR(IF($J$21-$AA$15&lt;0,0,$J$21-$AA$15),""))</f>
        <v>0</v>
      </c>
      <c r="X17" s="202"/>
      <c r="Y17" s="202"/>
      <c r="Z17" s="202"/>
      <c r="AA17" s="174" t="str">
        <f>IF($AM$16=0,"Units?",IF($AM$16=1,"ac",IF($AM$16=2,"sq-ft","Error")))</f>
        <v>Units?</v>
      </c>
      <c r="AB17" s="174"/>
      <c r="AD17" s="2" t="s">
        <v>48</v>
      </c>
      <c r="AE17" s="205">
        <f>AP16</f>
        <v>0</v>
      </c>
      <c r="AF17" s="205"/>
      <c r="AG17" s="205"/>
      <c r="AH17" s="205"/>
      <c r="AI17" s="174" t="s">
        <v>313</v>
      </c>
      <c r="AJ17" s="174"/>
      <c r="AL17" s="83">
        <f>IF(AND(J21=0,ISBLANK(AA15)),0,IF(OR(J21-AA15=0,J21-AA15&lt;0),1,2))</f>
        <v>0</v>
      </c>
      <c r="AM17" s="10" t="s">
        <v>318</v>
      </c>
      <c r="AV17" s="20">
        <f>AV15+1</f>
        <v>5</v>
      </c>
      <c r="AW17" s="25" t="s">
        <v>397</v>
      </c>
      <c r="AX17" s="78"/>
      <c r="AY17" s="78"/>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row>
    <row r="18" spans="2:87" ht="13.95" customHeight="1" x14ac:dyDescent="0.3">
      <c r="D18" s="2"/>
      <c r="E18" s="2"/>
      <c r="F18" s="2"/>
      <c r="G18" s="2"/>
      <c r="I18" s="2" t="s">
        <v>161</v>
      </c>
      <c r="J18" s="167"/>
      <c r="K18" s="167"/>
      <c r="L18" s="167"/>
      <c r="M18" s="167"/>
      <c r="N18" s="174" t="str">
        <f t="shared" si="0"/>
        <v>Units?</v>
      </c>
      <c r="O18" s="174"/>
      <c r="S18" s="25" t="s">
        <v>33</v>
      </c>
      <c r="AW18" s="4" t="s">
        <v>81</v>
      </c>
      <c r="AX18" s="25" t="str">
        <f>"Obtain "&amp;Tables!F37&amp;" for the adjacent property"</f>
        <v>Obtain Release Agreement for the adjacent property</v>
      </c>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row>
    <row r="19" spans="2:87" ht="13.95" customHeight="1" x14ac:dyDescent="0.3">
      <c r="D19" s="2"/>
      <c r="E19" s="2"/>
      <c r="F19" s="2"/>
      <c r="G19" s="2"/>
      <c r="I19" s="2" t="s">
        <v>162</v>
      </c>
      <c r="J19" s="167"/>
      <c r="K19" s="167"/>
      <c r="L19" s="167"/>
      <c r="M19" s="167"/>
      <c r="N19" s="174" t="str">
        <f t="shared" si="0"/>
        <v>Units?</v>
      </c>
      <c r="O19" s="174"/>
      <c r="V19" s="2" t="s">
        <v>35</v>
      </c>
      <c r="W19" s="25" t="str">
        <f>"AIA acres X "&amp;Tables!G15&amp; " in X 3,630"</f>
        <v>AIA acres X 1.10 in X 3,630</v>
      </c>
      <c r="AW19" s="4" t="s">
        <v>82</v>
      </c>
      <c r="AX19" s="25" t="str">
        <f>"If "&amp;Tables!F37&amp;" cannot be obtained, size the permeable pavement to attenuate the"</f>
        <v>If Release Agreement cannot be obtained, size the permeable pavement to attenuate the</v>
      </c>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row>
    <row r="20" spans="2:87" ht="13.95" customHeight="1" thickBot="1" x14ac:dyDescent="0.35">
      <c r="D20" s="2"/>
      <c r="E20" s="2"/>
      <c r="F20" s="2"/>
      <c r="G20" s="2"/>
      <c r="I20" s="2" t="s">
        <v>163</v>
      </c>
      <c r="J20" s="203"/>
      <c r="K20" s="203"/>
      <c r="L20" s="203"/>
      <c r="M20" s="203"/>
      <c r="N20" s="174" t="str">
        <f t="shared" si="0"/>
        <v>Units?</v>
      </c>
      <c r="O20" s="174"/>
      <c r="V20" s="2" t="s">
        <v>35</v>
      </c>
      <c r="W20" s="205">
        <f>IF(AL17=1,"0.00",IFERROR(IF($J$21-$AA$15&lt;0,0,$AP$16),""))</f>
        <v>0</v>
      </c>
      <c r="X20" s="205"/>
      <c r="Y20" s="205"/>
      <c r="Z20" s="205"/>
      <c r="AA20" s="25" t="str">
        <f>"acres X "&amp;Tables!G15&amp;" in X 3,630"</f>
        <v>acres X 1.10 in X 3,630</v>
      </c>
      <c r="AX20" s="79" t="str">
        <f>"post-development peak discharge for the "&amp;AS153&amp;"-year to be less than the pre-development "</f>
        <v xml:space="preserve">post-development peak discharge for the 25, 50, and 100-year to be less than the pre-development </v>
      </c>
      <c r="AZ20" s="78"/>
      <c r="BA20" s="78"/>
      <c r="BB20" s="78"/>
      <c r="BC20" s="78"/>
      <c r="BD20" s="78"/>
      <c r="BE20" s="78"/>
      <c r="BF20" s="78"/>
      <c r="BG20" s="78"/>
      <c r="BH20" s="78"/>
      <c r="BI20" s="78"/>
      <c r="BJ20" s="78"/>
      <c r="BK20" s="7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row>
    <row r="21" spans="2:87" ht="13.95" customHeight="1" thickTop="1" x14ac:dyDescent="0.3">
      <c r="D21" s="2"/>
      <c r="E21" s="2"/>
      <c r="F21" s="2"/>
      <c r="G21" s="2"/>
      <c r="I21" s="2" t="s">
        <v>164</v>
      </c>
      <c r="J21" s="202">
        <f>IF(SUM($J$16:$J$20)=0,0,SUM($J$16:$J$20))</f>
        <v>0</v>
      </c>
      <c r="K21" s="202"/>
      <c r="L21" s="202"/>
      <c r="M21" s="202"/>
      <c r="N21" s="174" t="str">
        <f t="shared" si="0"/>
        <v>Units?</v>
      </c>
      <c r="O21" s="174"/>
      <c r="V21" s="2" t="s">
        <v>35</v>
      </c>
      <c r="W21" s="184">
        <f>IF(AL17=1,"0",IFERROR(ROUND(IF(AP16*Tables!F15*3630&lt;0,0,AP16*Tables!F15*3630),0),""))</f>
        <v>0</v>
      </c>
      <c r="X21" s="184"/>
      <c r="Y21" s="184"/>
      <c r="Z21" s="184"/>
      <c r="AA21" s="25" t="s">
        <v>34</v>
      </c>
      <c r="AX21" s="79" t="str">
        <f>"peak discharge(s) for the "&amp;AR153&amp;"-year storm event(s)"</f>
        <v>peak discharge(s) for the 25-year storm event(s)</v>
      </c>
      <c r="AZ21" s="78"/>
      <c r="BA21" s="78"/>
      <c r="BB21" s="78"/>
      <c r="BC21" s="78"/>
      <c r="BD21" s="78"/>
      <c r="BE21" s="78"/>
      <c r="BF21" s="78"/>
      <c r="BG21" s="78"/>
      <c r="BH21" s="78"/>
      <c r="BI21" s="78"/>
      <c r="BJ21" s="78"/>
      <c r="BK21" s="7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row>
    <row r="22" spans="2:87" ht="15" customHeight="1" x14ac:dyDescent="0.3">
      <c r="AV22" s="80">
        <f>AV17+1</f>
        <v>6</v>
      </c>
      <c r="AW22" s="25" t="s">
        <v>500</v>
      </c>
      <c r="AZ22" s="78"/>
      <c r="BA22" s="78"/>
      <c r="BB22" s="78"/>
      <c r="BC22" s="78"/>
      <c r="BD22" s="78"/>
      <c r="BE22" s="78"/>
      <c r="BF22" s="78"/>
      <c r="BG22" s="78"/>
      <c r="BH22" s="78"/>
      <c r="BI22" s="78"/>
      <c r="BJ22" s="78"/>
      <c r="BK22" s="7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row>
    <row r="23" spans="2:87" ht="13.95" customHeight="1" x14ac:dyDescent="0.3">
      <c r="B23" s="1" t="s">
        <v>3</v>
      </c>
      <c r="C23" s="1"/>
      <c r="D23" s="1"/>
      <c r="E23" s="1"/>
      <c r="F23" s="1"/>
      <c r="G23" s="1"/>
      <c r="H23" s="1"/>
      <c r="I23" s="1"/>
      <c r="AW23" s="25" t="s">
        <v>501</v>
      </c>
      <c r="AZ23" s="78"/>
      <c r="BA23" s="78"/>
      <c r="BB23" s="78"/>
      <c r="BC23" s="78"/>
      <c r="BD23" s="78"/>
      <c r="BE23" s="78"/>
      <c r="BF23" s="78"/>
      <c r="BG23" s="78"/>
      <c r="BH23" s="78"/>
      <c r="BI23" s="78"/>
      <c r="BJ23" s="78"/>
      <c r="BK23" s="7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row>
    <row r="24" spans="2:87" s="19" customFormat="1" ht="15" hidden="1" customHeight="1" x14ac:dyDescent="0.3">
      <c r="B24" s="120"/>
      <c r="C24" s="120"/>
      <c r="D24" s="120"/>
      <c r="E24" s="120"/>
      <c r="F24" s="120"/>
      <c r="G24" s="120"/>
      <c r="H24" s="120"/>
      <c r="I24" s="120"/>
      <c r="L24" s="83">
        <f>IF(ISBLANK(L25),1,2)</f>
        <v>1</v>
      </c>
      <c r="P24" s="83">
        <f>IF(ISBLANK(P25),1,2)</f>
        <v>1</v>
      </c>
      <c r="T24" s="83">
        <f>IF(ISBLANK(T25),1,2)</f>
        <v>1</v>
      </c>
      <c r="X24" s="83">
        <f>IF(ISBLANK(X25),1,2)</f>
        <v>1</v>
      </c>
      <c r="AB24" s="83">
        <f>IF(ISBLANK(AB25),1,2)</f>
        <v>1</v>
      </c>
      <c r="AV24" s="25"/>
      <c r="AW24" s="25"/>
      <c r="AX24" s="79" t="str">
        <f>"peak discharge for the "&amp;AR153&amp;"-year storm event."</f>
        <v>peak discharge for the 25-year storm event.</v>
      </c>
    </row>
    <row r="25" spans="2:87" ht="13.95" customHeight="1" x14ac:dyDescent="0.3">
      <c r="I25" s="2"/>
      <c r="J25" s="2" t="s">
        <v>42</v>
      </c>
      <c r="K25" s="2"/>
      <c r="L25" s="178"/>
      <c r="M25" s="178"/>
      <c r="N25" s="178"/>
      <c r="P25" s="178"/>
      <c r="Q25" s="178"/>
      <c r="R25" s="178"/>
      <c r="T25" s="178"/>
      <c r="U25" s="178"/>
      <c r="V25" s="178"/>
      <c r="W25" s="4"/>
      <c r="X25" s="178"/>
      <c r="Y25" s="178"/>
      <c r="Z25" s="178"/>
      <c r="AB25" s="178"/>
      <c r="AC25" s="178"/>
      <c r="AD25" s="178"/>
      <c r="AE25" s="4"/>
      <c r="AF25" s="182" t="s">
        <v>13</v>
      </c>
      <c r="AG25" s="182"/>
      <c r="AH25" s="182"/>
      <c r="AI25" s="4"/>
      <c r="AJ25" s="4"/>
      <c r="AW25" s="25" t="s">
        <v>502</v>
      </c>
      <c r="AY25" s="78"/>
      <c r="AZ25" s="78"/>
      <c r="BA25" s="78"/>
      <c r="BB25" s="78"/>
      <c r="BC25" s="78"/>
      <c r="BD25" s="78"/>
      <c r="BE25" s="78"/>
      <c r="BF25" s="78"/>
      <c r="BG25" s="78"/>
      <c r="BH25" s="78"/>
      <c r="BI25" s="78"/>
      <c r="BJ25" s="78"/>
      <c r="BK25" s="7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row>
    <row r="26" spans="2:87" ht="13.95" customHeight="1" x14ac:dyDescent="0.3">
      <c r="H26" s="2" t="s">
        <v>359</v>
      </c>
      <c r="I26" s="201" t="str">
        <f>IF($AM$16=0,"Units?",IF($AM$16=1,"(ac):",IF($AM$16=2,"(sq-ft):","Error")))</f>
        <v>Units?</v>
      </c>
      <c r="J26" s="201"/>
      <c r="K26" s="2"/>
      <c r="L26" s="167"/>
      <c r="M26" s="167"/>
      <c r="N26" s="167"/>
      <c r="P26" s="167"/>
      <c r="Q26" s="167"/>
      <c r="R26" s="167"/>
      <c r="T26" s="167"/>
      <c r="U26" s="167"/>
      <c r="V26" s="167"/>
      <c r="W26" s="4"/>
      <c r="X26" s="167"/>
      <c r="Y26" s="167"/>
      <c r="Z26" s="167"/>
      <c r="AB26" s="167"/>
      <c r="AC26" s="167"/>
      <c r="AD26" s="167"/>
      <c r="AE26" s="4"/>
      <c r="AF26" s="173"/>
      <c r="AG26" s="173"/>
      <c r="AH26" s="173"/>
      <c r="AI26" s="4"/>
      <c r="AJ26" s="4"/>
      <c r="AV26" s="80">
        <f>AV22+1</f>
        <v>7</v>
      </c>
      <c r="AW26" s="25" t="s">
        <v>369</v>
      </c>
      <c r="AY26" s="78"/>
      <c r="AZ26" s="78"/>
      <c r="BA26" s="78"/>
      <c r="BB26" s="78"/>
      <c r="BC26" s="78"/>
      <c r="BD26" s="78"/>
      <c r="BE26" s="78"/>
      <c r="BF26" s="78"/>
      <c r="BG26" s="78"/>
      <c r="BH26" s="78"/>
      <c r="BI26" s="78"/>
      <c r="BJ26" s="78"/>
      <c r="BK26" s="7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row>
    <row r="27" spans="2:87" ht="13.95" customHeight="1" x14ac:dyDescent="0.3">
      <c r="I27" s="2"/>
      <c r="J27" s="2" t="s">
        <v>4</v>
      </c>
      <c r="K27" s="2"/>
      <c r="L27" s="177"/>
      <c r="M27" s="177"/>
      <c r="N27" s="177"/>
      <c r="P27" s="171"/>
      <c r="Q27" s="171"/>
      <c r="R27" s="171"/>
      <c r="S27" s="63"/>
      <c r="T27" s="171"/>
      <c r="U27" s="171"/>
      <c r="V27" s="171"/>
      <c r="W27" s="4"/>
      <c r="X27" s="171"/>
      <c r="Y27" s="171"/>
      <c r="Z27" s="171"/>
      <c r="AB27" s="171"/>
      <c r="AC27" s="171"/>
      <c r="AD27" s="171"/>
      <c r="AE27" s="4"/>
      <c r="AF27" s="111"/>
      <c r="AG27" s="111"/>
      <c r="AH27" s="111"/>
      <c r="AI27" s="4"/>
      <c r="AJ27" s="4"/>
      <c r="AV27" s="80"/>
      <c r="AW27" s="25" t="s">
        <v>370</v>
      </c>
      <c r="AX27" s="78"/>
      <c r="AY27" s="78"/>
      <c r="AZ27" s="78"/>
      <c r="BA27" s="78"/>
      <c r="BB27" s="78"/>
      <c r="BC27" s="78"/>
      <c r="BD27" s="78"/>
      <c r="BE27" s="78"/>
      <c r="BF27" s="78"/>
      <c r="BG27" s="78"/>
      <c r="BH27" s="78"/>
      <c r="BI27" s="78"/>
      <c r="BJ27" s="78"/>
      <c r="BK27" s="7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row>
    <row r="28" spans="2:87" ht="13.95" customHeight="1" x14ac:dyDescent="0.3">
      <c r="I28" s="2"/>
      <c r="J28" s="2" t="s">
        <v>46</v>
      </c>
      <c r="K28" s="2"/>
      <c r="L28" s="177"/>
      <c r="M28" s="177"/>
      <c r="N28" s="177"/>
      <c r="P28" s="171"/>
      <c r="Q28" s="171"/>
      <c r="R28" s="171"/>
      <c r="S28" s="27"/>
      <c r="T28" s="171"/>
      <c r="U28" s="171"/>
      <c r="V28" s="171"/>
      <c r="W28" s="4"/>
      <c r="X28" s="171"/>
      <c r="Y28" s="171"/>
      <c r="Z28" s="171"/>
      <c r="AB28" s="171"/>
      <c r="AC28" s="171"/>
      <c r="AD28" s="171"/>
      <c r="AE28" s="4"/>
      <c r="AF28" s="27"/>
      <c r="AG28" s="27"/>
      <c r="AH28" s="27"/>
      <c r="AI28" s="4"/>
      <c r="AJ28" s="4"/>
      <c r="AL28" s="87">
        <f>SUM(AL29:AL34)</f>
        <v>0</v>
      </c>
      <c r="AM28" s="83">
        <f>SUM(AM29:AM34)</f>
        <v>0</v>
      </c>
      <c r="AN28" s="10" t="s">
        <v>13</v>
      </c>
      <c r="AW28" s="25" t="s">
        <v>371</v>
      </c>
      <c r="AY28" s="78"/>
      <c r="AZ28" s="78"/>
      <c r="BA28" s="78"/>
      <c r="BB28" s="78"/>
      <c r="BC28" s="78"/>
      <c r="BD28" s="78"/>
      <c r="BE28" s="78"/>
      <c r="BF28" s="78"/>
      <c r="BG28" s="78"/>
      <c r="BH28" s="78"/>
      <c r="BI28" s="78"/>
      <c r="BJ28" s="78"/>
      <c r="BK28" s="7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row>
    <row r="29" spans="2:87" ht="13.95" customHeight="1" x14ac:dyDescent="0.3">
      <c r="D29" s="213" t="s">
        <v>272</v>
      </c>
      <c r="E29" s="213"/>
      <c r="F29" s="180">
        <f>Tables!$F$16</f>
        <v>4.21</v>
      </c>
      <c r="G29" s="180"/>
      <c r="H29" s="27"/>
      <c r="J29" s="2" t="str">
        <f>Tables!$D$16</f>
        <v>(2-yr)</v>
      </c>
      <c r="K29" s="2"/>
      <c r="L29" s="173"/>
      <c r="M29" s="173"/>
      <c r="N29" s="173"/>
      <c r="P29" s="173"/>
      <c r="Q29" s="173"/>
      <c r="R29" s="173"/>
      <c r="S29" s="32"/>
      <c r="T29" s="173"/>
      <c r="U29" s="173"/>
      <c r="V29" s="173"/>
      <c r="W29" s="4"/>
      <c r="X29" s="173"/>
      <c r="Y29" s="173"/>
      <c r="Z29" s="173"/>
      <c r="AB29" s="173"/>
      <c r="AC29" s="173"/>
      <c r="AD29" s="173"/>
      <c r="AE29" s="4"/>
      <c r="AF29" s="173"/>
      <c r="AG29" s="173"/>
      <c r="AH29" s="173"/>
      <c r="AI29" s="4"/>
      <c r="AJ29" s="4"/>
      <c r="AL29" s="83">
        <f t="shared" ref="AL29:AL34" si="1">IF(AF29=0,0,1)</f>
        <v>0</v>
      </c>
      <c r="AM29" s="83">
        <f t="shared" ref="AM29:AM34" si="2">IF(ISBLANK(AF29),0,1)</f>
        <v>0</v>
      </c>
      <c r="AW29" s="25" t="s">
        <v>503</v>
      </c>
      <c r="AY29" s="78"/>
      <c r="AZ29" s="78"/>
      <c r="BA29" s="78"/>
      <c r="BB29" s="78"/>
      <c r="BC29" s="78"/>
      <c r="BD29" s="78"/>
      <c r="BE29" s="78"/>
      <c r="BF29" s="78"/>
      <c r="BG29" s="78"/>
      <c r="BH29" s="78"/>
      <c r="BI29" s="78"/>
      <c r="BJ29" s="78"/>
      <c r="BK29" s="7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row>
    <row r="30" spans="2:87" ht="13.95" customHeight="1" x14ac:dyDescent="0.3">
      <c r="D30" s="213"/>
      <c r="E30" s="213"/>
      <c r="F30" s="180">
        <f>Tables!$F$17</f>
        <v>5.24</v>
      </c>
      <c r="G30" s="180"/>
      <c r="H30" s="27"/>
      <c r="J30" s="2" t="str">
        <f>Tables!$D$17</f>
        <v>(5-yr)</v>
      </c>
      <c r="K30" s="2"/>
      <c r="L30" s="173"/>
      <c r="M30" s="173"/>
      <c r="N30" s="173"/>
      <c r="P30" s="173"/>
      <c r="Q30" s="173"/>
      <c r="R30" s="173"/>
      <c r="S30" s="32"/>
      <c r="T30" s="167"/>
      <c r="U30" s="167"/>
      <c r="V30" s="167"/>
      <c r="W30" s="4"/>
      <c r="X30" s="167"/>
      <c r="Y30" s="167"/>
      <c r="Z30" s="167"/>
      <c r="AB30" s="167"/>
      <c r="AC30" s="167"/>
      <c r="AD30" s="167"/>
      <c r="AE30" s="4"/>
      <c r="AF30" s="167"/>
      <c r="AG30" s="167"/>
      <c r="AH30" s="167"/>
      <c r="AI30" s="4"/>
      <c r="AJ30" s="4"/>
      <c r="AL30" s="83">
        <f t="shared" si="1"/>
        <v>0</v>
      </c>
      <c r="AM30" s="83">
        <f t="shared" si="2"/>
        <v>0</v>
      </c>
      <c r="AV30" s="80">
        <f>AV26+1</f>
        <v>8</v>
      </c>
      <c r="AW30" s="79" t="s">
        <v>343</v>
      </c>
      <c r="AX30" s="78"/>
      <c r="AY30" s="78"/>
      <c r="AZ30" s="78"/>
      <c r="BA30" s="78"/>
      <c r="BB30" s="78"/>
      <c r="BC30" s="78"/>
      <c r="BD30" s="78"/>
      <c r="BE30" s="78"/>
      <c r="BF30" s="78"/>
      <c r="BG30" s="78"/>
      <c r="BH30" s="78"/>
      <c r="BI30" s="78"/>
      <c r="BJ30" s="78"/>
      <c r="BK30" s="7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row>
    <row r="31" spans="2:87" ht="13.95" customHeight="1" x14ac:dyDescent="0.3">
      <c r="D31" s="213"/>
      <c r="E31" s="213"/>
      <c r="F31" s="180">
        <f>Tables!$F$18</f>
        <v>6.17</v>
      </c>
      <c r="G31" s="180"/>
      <c r="H31" s="27"/>
      <c r="J31" s="2" t="str">
        <f>Tables!$D$18</f>
        <v>(10-yr)</v>
      </c>
      <c r="K31" s="2"/>
      <c r="L31" s="173"/>
      <c r="M31" s="173"/>
      <c r="N31" s="173"/>
      <c r="P31" s="167"/>
      <c r="Q31" s="167"/>
      <c r="R31" s="167"/>
      <c r="S31" s="32"/>
      <c r="T31" s="167"/>
      <c r="U31" s="167"/>
      <c r="V31" s="167"/>
      <c r="W31" s="4"/>
      <c r="X31" s="167"/>
      <c r="Y31" s="167"/>
      <c r="Z31" s="167"/>
      <c r="AB31" s="167"/>
      <c r="AC31" s="167"/>
      <c r="AD31" s="167"/>
      <c r="AE31" s="4"/>
      <c r="AF31" s="167"/>
      <c r="AG31" s="167"/>
      <c r="AH31" s="167"/>
      <c r="AI31" s="4"/>
      <c r="AJ31" s="4"/>
      <c r="AL31" s="83">
        <f t="shared" si="1"/>
        <v>0</v>
      </c>
      <c r="AM31" s="83">
        <f t="shared" si="2"/>
        <v>0</v>
      </c>
      <c r="AW31" s="79" t="s">
        <v>344</v>
      </c>
      <c r="AX31" s="78"/>
      <c r="AY31" s="78"/>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row>
    <row r="32" spans="2:87" ht="13.95" customHeight="1" x14ac:dyDescent="0.3">
      <c r="D32" s="213"/>
      <c r="E32" s="213"/>
      <c r="F32" s="180">
        <f>Tables!$F$19</f>
        <v>7.55</v>
      </c>
      <c r="G32" s="180"/>
      <c r="H32" s="27"/>
      <c r="J32" s="2" t="str">
        <f>Tables!$D$19</f>
        <v>(25-yr)</v>
      </c>
      <c r="K32" s="2"/>
      <c r="L32" s="173"/>
      <c r="M32" s="173"/>
      <c r="N32" s="173"/>
      <c r="P32" s="167"/>
      <c r="Q32" s="167"/>
      <c r="R32" s="167"/>
      <c r="S32" s="32"/>
      <c r="T32" s="167"/>
      <c r="U32" s="167"/>
      <c r="V32" s="167"/>
      <c r="W32" s="4"/>
      <c r="X32" s="167"/>
      <c r="Y32" s="167"/>
      <c r="Z32" s="167"/>
      <c r="AB32" s="167"/>
      <c r="AC32" s="167"/>
      <c r="AD32" s="167"/>
      <c r="AE32" s="4"/>
      <c r="AF32" s="167"/>
      <c r="AG32" s="167"/>
      <c r="AH32" s="167"/>
      <c r="AI32" s="4"/>
      <c r="AJ32" s="4"/>
      <c r="AL32" s="83">
        <f t="shared" si="1"/>
        <v>0</v>
      </c>
      <c r="AM32" s="83">
        <f t="shared" si="2"/>
        <v>0</v>
      </c>
      <c r="AV32" s="80">
        <f>AV30+1</f>
        <v>9</v>
      </c>
      <c r="AW32" s="79" t="s">
        <v>345</v>
      </c>
      <c r="AY32" s="78"/>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row>
    <row r="33" spans="2:87" ht="13.95" customHeight="1" x14ac:dyDescent="0.3">
      <c r="D33" s="213"/>
      <c r="E33" s="213"/>
      <c r="F33" s="180">
        <f>Tables!$F$20</f>
        <v>8.6999999999999993</v>
      </c>
      <c r="G33" s="180"/>
      <c r="H33" s="27"/>
      <c r="J33" s="2" t="str">
        <f>Tables!$D$20</f>
        <v>(50-yr)</v>
      </c>
      <c r="K33" s="2"/>
      <c r="L33" s="173"/>
      <c r="M33" s="173"/>
      <c r="N33" s="173"/>
      <c r="P33" s="167"/>
      <c r="Q33" s="167"/>
      <c r="R33" s="167"/>
      <c r="S33" s="32"/>
      <c r="T33" s="167"/>
      <c r="U33" s="167"/>
      <c r="V33" s="167"/>
      <c r="W33" s="4"/>
      <c r="X33" s="167"/>
      <c r="Y33" s="167"/>
      <c r="Z33" s="167"/>
      <c r="AB33" s="167"/>
      <c r="AC33" s="167"/>
      <c r="AD33" s="167"/>
      <c r="AE33" s="4"/>
      <c r="AF33" s="167"/>
      <c r="AG33" s="167"/>
      <c r="AH33" s="167"/>
      <c r="AI33" s="4"/>
      <c r="AJ33" s="4"/>
      <c r="AL33" s="83">
        <f t="shared" si="1"/>
        <v>0</v>
      </c>
      <c r="AM33" s="83">
        <f t="shared" si="2"/>
        <v>0</v>
      </c>
      <c r="AW33" s="4" t="s">
        <v>81</v>
      </c>
      <c r="AX33" s="79" t="s">
        <v>346</v>
      </c>
      <c r="AY33" s="78"/>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row>
    <row r="34" spans="2:87" ht="13.95" customHeight="1" x14ac:dyDescent="0.3">
      <c r="D34" s="213"/>
      <c r="E34" s="213"/>
      <c r="F34" s="180">
        <f>Tables!$F$21</f>
        <v>9.93</v>
      </c>
      <c r="G34" s="180"/>
      <c r="H34" s="27"/>
      <c r="J34" s="2" t="str">
        <f>Tables!$D$21</f>
        <v>(100-yr)</v>
      </c>
      <c r="K34" s="2"/>
      <c r="L34" s="173"/>
      <c r="M34" s="173"/>
      <c r="N34" s="173"/>
      <c r="P34" s="167"/>
      <c r="Q34" s="167"/>
      <c r="R34" s="167"/>
      <c r="S34" s="32"/>
      <c r="T34" s="167"/>
      <c r="U34" s="167"/>
      <c r="V34" s="167"/>
      <c r="W34" s="4"/>
      <c r="X34" s="167"/>
      <c r="Y34" s="167"/>
      <c r="Z34" s="167"/>
      <c r="AB34" s="167"/>
      <c r="AC34" s="167"/>
      <c r="AD34" s="167"/>
      <c r="AE34" s="4"/>
      <c r="AF34" s="167"/>
      <c r="AG34" s="167"/>
      <c r="AH34" s="167"/>
      <c r="AI34" s="4"/>
      <c r="AJ34" s="4"/>
      <c r="AL34" s="83">
        <f t="shared" si="1"/>
        <v>0</v>
      </c>
      <c r="AM34" s="83">
        <f t="shared" si="2"/>
        <v>0</v>
      </c>
      <c r="AW34" s="4"/>
      <c r="AX34" s="79" t="s">
        <v>347</v>
      </c>
      <c r="AY34" s="78"/>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row>
    <row r="35" spans="2:87" ht="15" customHeight="1" x14ac:dyDescent="0.3">
      <c r="AL35" s="93"/>
      <c r="AM35" s="19"/>
      <c r="AX35" s="79" t="s">
        <v>354</v>
      </c>
      <c r="AY35" s="78"/>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row>
    <row r="36" spans="2:87" ht="13.95" customHeight="1" x14ac:dyDescent="0.3">
      <c r="B36" s="1" t="s">
        <v>11</v>
      </c>
      <c r="C36" s="1"/>
      <c r="D36" s="1"/>
      <c r="E36" s="1"/>
      <c r="F36" s="1"/>
      <c r="G36" s="1"/>
      <c r="H36" s="1"/>
      <c r="I36" s="1"/>
      <c r="AL36" s="83">
        <f>IF(AND(ISBLANK(P36),ISBLANK(S36),ISBLANK(V36),ISBLANK(Y36)),1,2)</f>
        <v>1</v>
      </c>
      <c r="AV36" s="80"/>
      <c r="AW36" s="80" t="s">
        <v>82</v>
      </c>
      <c r="AX36" s="79" t="s">
        <v>348</v>
      </c>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row>
    <row r="37" spans="2:87" s="19" customFormat="1" ht="15" hidden="1" customHeight="1" x14ac:dyDescent="0.3">
      <c r="B37" s="120"/>
      <c r="C37" s="120"/>
      <c r="D37" s="120"/>
      <c r="E37" s="120"/>
      <c r="F37" s="120"/>
      <c r="G37" s="120"/>
      <c r="H37" s="120"/>
      <c r="I37" s="120"/>
      <c r="L37" s="83">
        <f>IF(ISBLANK(L38),1,2)</f>
        <v>1</v>
      </c>
      <c r="P37" s="83">
        <f>IF(ISBLANK(P38),1,2)</f>
        <v>1</v>
      </c>
      <c r="T37" s="83">
        <f>IF(ISBLANK(T38),1,2)</f>
        <v>1</v>
      </c>
      <c r="X37" s="83">
        <f>IF(ISBLANK(X38),1,2)</f>
        <v>1</v>
      </c>
      <c r="AB37" s="83">
        <f>IF(ISBLANK(AB38),1,2)</f>
        <v>1</v>
      </c>
      <c r="BL37" s="121"/>
      <c r="BM37" s="121"/>
      <c r="BN37" s="121"/>
      <c r="BO37" s="121"/>
      <c r="BP37" s="121"/>
      <c r="BQ37" s="121"/>
      <c r="BR37" s="121"/>
      <c r="BS37" s="121"/>
      <c r="BT37" s="121"/>
      <c r="BU37" s="121"/>
      <c r="BV37" s="121"/>
      <c r="BW37" s="121"/>
      <c r="BX37" s="121"/>
      <c r="BY37" s="121"/>
      <c r="BZ37" s="121"/>
      <c r="CA37" s="121"/>
      <c r="CB37" s="121"/>
      <c r="CC37" s="121"/>
      <c r="CD37" s="121"/>
      <c r="CE37" s="121"/>
      <c r="CF37" s="121"/>
      <c r="CG37" s="121"/>
      <c r="CH37" s="121"/>
      <c r="CI37" s="121"/>
    </row>
    <row r="38" spans="2:87" ht="13.95" customHeight="1" x14ac:dyDescent="0.3">
      <c r="I38" s="2"/>
      <c r="J38" s="2" t="s">
        <v>42</v>
      </c>
      <c r="K38" s="2"/>
      <c r="L38" s="178"/>
      <c r="M38" s="178"/>
      <c r="N38" s="178"/>
      <c r="P38" s="178"/>
      <c r="Q38" s="178"/>
      <c r="R38" s="178"/>
      <c r="S38" s="4"/>
      <c r="T38" s="178"/>
      <c r="U38" s="178"/>
      <c r="V38" s="178"/>
      <c r="W38" s="4"/>
      <c r="X38" s="178"/>
      <c r="Y38" s="178"/>
      <c r="Z38" s="178"/>
      <c r="AB38" s="178"/>
      <c r="AC38" s="178"/>
      <c r="AD38" s="178"/>
      <c r="AE38" s="4"/>
      <c r="AG38" s="4" t="s">
        <v>12</v>
      </c>
      <c r="AH38" s="4"/>
      <c r="AI38" s="4"/>
      <c r="AJ38" s="4"/>
      <c r="AW38" s="80"/>
      <c r="AX38" s="79" t="s">
        <v>349</v>
      </c>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row>
    <row r="39" spans="2:87" ht="13.95" customHeight="1" x14ac:dyDescent="0.3">
      <c r="H39" s="2" t="s">
        <v>359</v>
      </c>
      <c r="I39" s="201" t="str">
        <f>IF($AM$16=0,"Units?",IF($AM$16=1,"(ac):",IF($AM$16=2,"(sq-ft):","Error")))</f>
        <v>Units?</v>
      </c>
      <c r="J39" s="201"/>
      <c r="K39" s="2"/>
      <c r="L39" s="173"/>
      <c r="M39" s="173"/>
      <c r="N39" s="173"/>
      <c r="P39" s="167"/>
      <c r="Q39" s="167"/>
      <c r="R39" s="167"/>
      <c r="S39" s="4"/>
      <c r="T39" s="167"/>
      <c r="U39" s="167"/>
      <c r="V39" s="167"/>
      <c r="W39" s="4"/>
      <c r="X39" s="167"/>
      <c r="Y39" s="167"/>
      <c r="Z39" s="167"/>
      <c r="AB39" s="167"/>
      <c r="AC39" s="167"/>
      <c r="AD39" s="167"/>
      <c r="AE39" s="4"/>
      <c r="AF39" s="173"/>
      <c r="AG39" s="173"/>
      <c r="AH39" s="173"/>
      <c r="AI39" s="4"/>
      <c r="AJ39" s="4"/>
      <c r="AV39" s="80"/>
      <c r="AW39" s="80" t="s">
        <v>95</v>
      </c>
      <c r="AX39" s="79" t="s">
        <v>350</v>
      </c>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row>
    <row r="40" spans="2:87" ht="13.95" customHeight="1" x14ac:dyDescent="0.3">
      <c r="I40" s="2"/>
      <c r="J40" s="2" t="s">
        <v>4</v>
      </c>
      <c r="K40" s="2"/>
      <c r="L40" s="177"/>
      <c r="M40" s="177"/>
      <c r="N40" s="177"/>
      <c r="P40" s="171"/>
      <c r="Q40" s="171"/>
      <c r="R40" s="171"/>
      <c r="S40" s="4"/>
      <c r="T40" s="171"/>
      <c r="U40" s="171"/>
      <c r="V40" s="171"/>
      <c r="W40" s="4"/>
      <c r="X40" s="171"/>
      <c r="Y40" s="171"/>
      <c r="Z40" s="171"/>
      <c r="AB40" s="171"/>
      <c r="AC40" s="171"/>
      <c r="AD40" s="171"/>
      <c r="AE40" s="4"/>
      <c r="AF40" s="111"/>
      <c r="AG40" s="111"/>
      <c r="AH40" s="111"/>
      <c r="AI40" s="4"/>
      <c r="AJ40" s="4"/>
      <c r="AV40" s="80"/>
      <c r="AW40" s="80"/>
      <c r="AX40" s="79" t="s">
        <v>351</v>
      </c>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row>
    <row r="41" spans="2:87" ht="13.95" customHeight="1" x14ac:dyDescent="0.3">
      <c r="I41" s="2"/>
      <c r="J41" s="2" t="s">
        <v>46</v>
      </c>
      <c r="K41" s="2"/>
      <c r="L41" s="177"/>
      <c r="M41" s="177"/>
      <c r="N41" s="177"/>
      <c r="P41" s="171"/>
      <c r="Q41" s="171"/>
      <c r="R41" s="171"/>
      <c r="S41" s="4"/>
      <c r="T41" s="171"/>
      <c r="U41" s="171"/>
      <c r="V41" s="171"/>
      <c r="W41" s="4"/>
      <c r="X41" s="171"/>
      <c r="Y41" s="171"/>
      <c r="Z41" s="171"/>
      <c r="AB41" s="171"/>
      <c r="AC41" s="171"/>
      <c r="AD41" s="171"/>
      <c r="AE41" s="4"/>
      <c r="AF41" s="27"/>
      <c r="AG41" s="27"/>
      <c r="AH41" s="27"/>
      <c r="AI41" s="4"/>
      <c r="AJ41" s="4"/>
      <c r="AL41" s="87">
        <f>SUM(AL42:AL47)</f>
        <v>0</v>
      </c>
      <c r="AM41" s="83">
        <f>SUM(AM42:AM47)</f>
        <v>0</v>
      </c>
      <c r="AN41" s="10" t="s">
        <v>12</v>
      </c>
      <c r="AV41" s="80"/>
      <c r="AW41" s="80" t="s">
        <v>96</v>
      </c>
      <c r="AX41" s="79" t="s">
        <v>535</v>
      </c>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row>
    <row r="42" spans="2:87" ht="13.95" customHeight="1" x14ac:dyDescent="0.3">
      <c r="D42" s="213" t="s">
        <v>272</v>
      </c>
      <c r="E42" s="213"/>
      <c r="F42" s="180">
        <f>Tables!$F$16</f>
        <v>4.21</v>
      </c>
      <c r="G42" s="180"/>
      <c r="H42" s="27"/>
      <c r="J42" s="2" t="str">
        <f>Tables!$D$16</f>
        <v>(2-yr)</v>
      </c>
      <c r="K42" s="2"/>
      <c r="L42" s="173"/>
      <c r="M42" s="173"/>
      <c r="N42" s="173"/>
      <c r="P42" s="173"/>
      <c r="Q42" s="173"/>
      <c r="R42" s="173"/>
      <c r="S42" s="4"/>
      <c r="T42" s="173"/>
      <c r="U42" s="173"/>
      <c r="V42" s="173"/>
      <c r="W42" s="4"/>
      <c r="X42" s="173"/>
      <c r="Y42" s="173"/>
      <c r="Z42" s="173"/>
      <c r="AB42" s="173"/>
      <c r="AC42" s="173"/>
      <c r="AD42" s="173"/>
      <c r="AE42" s="4"/>
      <c r="AF42" s="173"/>
      <c r="AG42" s="173"/>
      <c r="AH42" s="173"/>
      <c r="AI42" s="4"/>
      <c r="AJ42" s="4"/>
      <c r="AL42" s="83">
        <f t="shared" ref="AL42:AL47" si="3">IF(AF42=0,0,1)</f>
        <v>0</v>
      </c>
      <c r="AM42" s="83">
        <f t="shared" ref="AM42:AM47" si="4">IF(ISBLANK(AF42),0,1)</f>
        <v>0</v>
      </c>
      <c r="AV42" s="80"/>
      <c r="AW42" s="80"/>
      <c r="AX42" s="79" t="s">
        <v>352</v>
      </c>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row>
    <row r="43" spans="2:87" ht="13.95" customHeight="1" x14ac:dyDescent="0.3">
      <c r="D43" s="213"/>
      <c r="E43" s="213"/>
      <c r="F43" s="180">
        <f>Tables!$F$17</f>
        <v>5.24</v>
      </c>
      <c r="G43" s="180"/>
      <c r="H43" s="27"/>
      <c r="J43" s="2" t="str">
        <f>Tables!$D$17</f>
        <v>(5-yr)</v>
      </c>
      <c r="K43" s="2"/>
      <c r="L43" s="173"/>
      <c r="M43" s="173"/>
      <c r="N43" s="173"/>
      <c r="P43" s="167"/>
      <c r="Q43" s="167"/>
      <c r="R43" s="167"/>
      <c r="S43" s="4"/>
      <c r="T43" s="167"/>
      <c r="U43" s="167"/>
      <c r="V43" s="167"/>
      <c r="W43" s="4"/>
      <c r="X43" s="167"/>
      <c r="Y43" s="167"/>
      <c r="Z43" s="167"/>
      <c r="AB43" s="167"/>
      <c r="AC43" s="167"/>
      <c r="AD43" s="167"/>
      <c r="AE43" s="4"/>
      <c r="AF43" s="167"/>
      <c r="AG43" s="167"/>
      <c r="AH43" s="167"/>
      <c r="AI43" s="4"/>
      <c r="AJ43" s="4"/>
      <c r="AL43" s="83">
        <f t="shared" si="3"/>
        <v>0</v>
      </c>
      <c r="AM43" s="83">
        <f t="shared" si="4"/>
        <v>0</v>
      </c>
      <c r="AV43" s="80"/>
      <c r="AW43" s="80" t="s">
        <v>94</v>
      </c>
      <c r="AX43" s="79" t="s">
        <v>353</v>
      </c>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row>
    <row r="44" spans="2:87" ht="13.95" customHeight="1" x14ac:dyDescent="0.3">
      <c r="D44" s="213"/>
      <c r="E44" s="213"/>
      <c r="F44" s="180">
        <f>Tables!$F$18</f>
        <v>6.17</v>
      </c>
      <c r="G44" s="180"/>
      <c r="H44" s="27"/>
      <c r="J44" s="2" t="str">
        <f>Tables!$D$18</f>
        <v>(10-yr)</v>
      </c>
      <c r="K44" s="2"/>
      <c r="L44" s="173"/>
      <c r="M44" s="173"/>
      <c r="N44" s="173"/>
      <c r="P44" s="167"/>
      <c r="Q44" s="167"/>
      <c r="R44" s="167"/>
      <c r="S44" s="4"/>
      <c r="T44" s="167"/>
      <c r="U44" s="167"/>
      <c r="V44" s="167"/>
      <c r="W44" s="4"/>
      <c r="X44" s="167"/>
      <c r="Y44" s="167"/>
      <c r="Z44" s="167"/>
      <c r="AB44" s="167"/>
      <c r="AC44" s="167"/>
      <c r="AD44" s="167"/>
      <c r="AE44" s="4"/>
      <c r="AF44" s="167"/>
      <c r="AG44" s="167"/>
      <c r="AH44" s="167"/>
      <c r="AI44" s="4"/>
      <c r="AJ44" s="4"/>
      <c r="AL44" s="83">
        <f t="shared" si="3"/>
        <v>0</v>
      </c>
      <c r="AM44" s="83">
        <f t="shared" si="4"/>
        <v>0</v>
      </c>
      <c r="AV44" s="80"/>
      <c r="AW44" s="80" t="s">
        <v>97</v>
      </c>
      <c r="AX44" s="79" t="s">
        <v>355</v>
      </c>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row>
    <row r="45" spans="2:87" ht="13.95" customHeight="1" x14ac:dyDescent="0.3">
      <c r="D45" s="213"/>
      <c r="E45" s="213"/>
      <c r="F45" s="180">
        <f>Tables!$F$19</f>
        <v>7.55</v>
      </c>
      <c r="G45" s="180"/>
      <c r="H45" s="27"/>
      <c r="J45" s="2" t="str">
        <f>Tables!$D$19</f>
        <v>(25-yr)</v>
      </c>
      <c r="K45" s="2"/>
      <c r="L45" s="173"/>
      <c r="M45" s="173"/>
      <c r="N45" s="173"/>
      <c r="P45" s="167"/>
      <c r="Q45" s="167"/>
      <c r="R45" s="167"/>
      <c r="S45" s="4"/>
      <c r="T45" s="167"/>
      <c r="U45" s="167"/>
      <c r="V45" s="167"/>
      <c r="W45" s="4"/>
      <c r="X45" s="167"/>
      <c r="Y45" s="167"/>
      <c r="Z45" s="167"/>
      <c r="AB45" s="167"/>
      <c r="AC45" s="167"/>
      <c r="AD45" s="167"/>
      <c r="AE45" s="4"/>
      <c r="AF45" s="167"/>
      <c r="AG45" s="167"/>
      <c r="AH45" s="167"/>
      <c r="AI45" s="4"/>
      <c r="AJ45" s="4"/>
      <c r="AL45" s="83">
        <f t="shared" si="3"/>
        <v>0</v>
      </c>
      <c r="AM45" s="83">
        <f t="shared" si="4"/>
        <v>0</v>
      </c>
      <c r="AV45" s="80"/>
      <c r="AW45" s="80"/>
      <c r="AX45" s="79" t="s">
        <v>356</v>
      </c>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row>
    <row r="46" spans="2:87" ht="13.95" customHeight="1" x14ac:dyDescent="0.3">
      <c r="D46" s="213"/>
      <c r="E46" s="213"/>
      <c r="F46" s="180">
        <f>Tables!$F$20</f>
        <v>8.6999999999999993</v>
      </c>
      <c r="G46" s="180"/>
      <c r="H46" s="27"/>
      <c r="J46" s="2" t="str">
        <f>Tables!$D$20</f>
        <v>(50-yr)</v>
      </c>
      <c r="K46" s="2"/>
      <c r="L46" s="173"/>
      <c r="M46" s="173"/>
      <c r="N46" s="173"/>
      <c r="P46" s="167"/>
      <c r="Q46" s="167"/>
      <c r="R46" s="167"/>
      <c r="S46" s="4"/>
      <c r="T46" s="167"/>
      <c r="U46" s="167"/>
      <c r="V46" s="167"/>
      <c r="W46" s="4"/>
      <c r="X46" s="167"/>
      <c r="Y46" s="167"/>
      <c r="Z46" s="167"/>
      <c r="AB46" s="167"/>
      <c r="AC46" s="167"/>
      <c r="AD46" s="167"/>
      <c r="AE46" s="4"/>
      <c r="AF46" s="167"/>
      <c r="AG46" s="167"/>
      <c r="AH46" s="167"/>
      <c r="AI46" s="4"/>
      <c r="AJ46" s="4"/>
      <c r="AL46" s="83">
        <f t="shared" si="3"/>
        <v>0</v>
      </c>
      <c r="AM46" s="83">
        <f t="shared" si="4"/>
        <v>0</v>
      </c>
      <c r="AX46" s="79" t="s">
        <v>357</v>
      </c>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row>
    <row r="47" spans="2:87" ht="13.95" customHeight="1" x14ac:dyDescent="0.3">
      <c r="D47" s="213"/>
      <c r="E47" s="213"/>
      <c r="F47" s="180">
        <f>Tables!$F$21</f>
        <v>9.93</v>
      </c>
      <c r="G47" s="180"/>
      <c r="H47" s="27"/>
      <c r="J47" s="2" t="str">
        <f>Tables!$D$21</f>
        <v>(100-yr)</v>
      </c>
      <c r="K47" s="2"/>
      <c r="L47" s="173"/>
      <c r="M47" s="173"/>
      <c r="N47" s="173"/>
      <c r="P47" s="167"/>
      <c r="Q47" s="167"/>
      <c r="R47" s="167"/>
      <c r="S47" s="4"/>
      <c r="T47" s="167"/>
      <c r="U47" s="167"/>
      <c r="V47" s="167"/>
      <c r="W47" s="4"/>
      <c r="X47" s="167"/>
      <c r="Y47" s="167"/>
      <c r="Z47" s="167"/>
      <c r="AB47" s="167"/>
      <c r="AC47" s="167"/>
      <c r="AD47" s="167"/>
      <c r="AE47" s="4"/>
      <c r="AF47" s="167"/>
      <c r="AG47" s="167"/>
      <c r="AH47" s="167"/>
      <c r="AI47" s="4"/>
      <c r="AJ47" s="4"/>
      <c r="AL47" s="83">
        <f t="shared" si="3"/>
        <v>0</v>
      </c>
      <c r="AM47" s="83">
        <f t="shared" si="4"/>
        <v>0</v>
      </c>
      <c r="AV47" s="80">
        <f>AV32+1</f>
        <v>10</v>
      </c>
      <c r="AW47" s="79" t="s">
        <v>209</v>
      </c>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row>
    <row r="48" spans="2:87" ht="15" customHeight="1" x14ac:dyDescent="0.3">
      <c r="AK48" s="27"/>
      <c r="AV48" s="80"/>
      <c r="AW48" s="80" t="s">
        <v>81</v>
      </c>
      <c r="AX48" s="79" t="s">
        <v>536</v>
      </c>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row>
    <row r="49" spans="2:87" ht="15" customHeight="1" x14ac:dyDescent="0.3">
      <c r="B49" s="1" t="s">
        <v>517</v>
      </c>
      <c r="AW49" s="80" t="s">
        <v>82</v>
      </c>
      <c r="AX49" s="79" t="s">
        <v>537</v>
      </c>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row>
    <row r="50" spans="2:87" ht="4.95" customHeight="1" x14ac:dyDescent="0.3">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row>
    <row r="51" spans="2:87" ht="15" customHeight="1" x14ac:dyDescent="0.3">
      <c r="C51" s="156"/>
      <c r="D51" s="25" t="s">
        <v>109</v>
      </c>
      <c r="F51" s="156"/>
      <c r="G51" s="25" t="s">
        <v>110</v>
      </c>
      <c r="H51" s="4"/>
      <c r="I51" s="25" t="s">
        <v>516</v>
      </c>
      <c r="V51" s="2"/>
      <c r="W51" s="94"/>
      <c r="Z51" s="94"/>
      <c r="AL51" s="83">
        <f>IF(AND(ISBLANK(C51),ISBLANK(F51)),1,2)</f>
        <v>1</v>
      </c>
      <c r="AW51" s="80" t="s">
        <v>95</v>
      </c>
      <c r="AX51" s="79" t="s">
        <v>538</v>
      </c>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row>
    <row r="52" spans="2:87" ht="15" customHeight="1" x14ac:dyDescent="0.3">
      <c r="I52" s="25" t="s">
        <v>533</v>
      </c>
      <c r="AK52" s="27"/>
      <c r="AW52" s="80" t="s">
        <v>96</v>
      </c>
      <c r="AX52" s="79" t="s">
        <v>539</v>
      </c>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row>
    <row r="53" spans="2:87" ht="15" customHeight="1" x14ac:dyDescent="0.3">
      <c r="J53" s="2"/>
      <c r="K53" s="94"/>
      <c r="N53" s="94"/>
      <c r="V53" s="2"/>
      <c r="W53" s="94"/>
      <c r="Z53" s="94"/>
      <c r="AW53" s="80" t="s">
        <v>94</v>
      </c>
      <c r="AX53" s="79" t="s">
        <v>540</v>
      </c>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row>
    <row r="54" spans="2:87" ht="15" customHeight="1" x14ac:dyDescent="0.3">
      <c r="B54" s="181">
        <f>Tables!$F$13</f>
        <v>46266</v>
      </c>
      <c r="C54" s="181"/>
      <c r="D54" s="181"/>
      <c r="E54" s="181"/>
      <c r="F54" s="181"/>
      <c r="G54" s="181"/>
      <c r="H54" s="181"/>
      <c r="R54" s="182" t="s">
        <v>291</v>
      </c>
      <c r="S54" s="182"/>
      <c r="T54" s="182"/>
      <c r="U54" s="182"/>
      <c r="AK54" s="27"/>
      <c r="AW54" s="80" t="s">
        <v>97</v>
      </c>
      <c r="AX54" s="79" t="s">
        <v>541</v>
      </c>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row>
    <row r="55" spans="2:87" ht="15" customHeight="1" x14ac:dyDescent="0.3">
      <c r="C55" s="2" t="s">
        <v>1</v>
      </c>
      <c r="D55" s="179">
        <f>IF(ISBLANK($E$7),0,$E$7)</f>
        <v>0</v>
      </c>
      <c r="E55" s="179"/>
      <c r="F55" s="179"/>
      <c r="G55" s="179"/>
      <c r="H55" s="179"/>
      <c r="I55" s="179"/>
      <c r="J55" s="179"/>
      <c r="K55" s="179"/>
      <c r="L55" s="179"/>
      <c r="M55" s="179"/>
      <c r="N55" s="179"/>
      <c r="O55" s="179"/>
      <c r="P55" s="179"/>
      <c r="Q55" s="179"/>
      <c r="R55" s="179"/>
      <c r="S55" s="179"/>
      <c r="T55" s="179"/>
      <c r="U55" s="179"/>
      <c r="V55" s="179"/>
      <c r="W55" s="179"/>
      <c r="X55" s="179"/>
      <c r="Y55" s="179"/>
      <c r="AD55" s="2" t="s">
        <v>20</v>
      </c>
      <c r="AE55" s="200">
        <f>IF(ISBLANK($AE$7),0,$AE$7)</f>
        <v>0</v>
      </c>
      <c r="AF55" s="200"/>
      <c r="AG55" s="200"/>
      <c r="AH55" s="200"/>
      <c r="AI55" s="200"/>
      <c r="AJ55" s="200"/>
      <c r="AM55" s="83">
        <f t="shared" ref="AM55" si="5">IF(ISBLANK(AF55),0,1)</f>
        <v>0</v>
      </c>
      <c r="AV55" s="20">
        <f>AV47+1</f>
        <v>11</v>
      </c>
      <c r="AW55" s="25" t="s">
        <v>367</v>
      </c>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row>
    <row r="56" spans="2:87" ht="15" customHeight="1" x14ac:dyDescent="0.3">
      <c r="C56" s="1"/>
      <c r="D56" s="1"/>
      <c r="E56" s="1"/>
      <c r="F56" s="1"/>
      <c r="G56" s="1"/>
      <c r="H56" s="1"/>
      <c r="K56" s="2"/>
      <c r="L56" s="2"/>
      <c r="M56" s="2"/>
      <c r="N56" s="2"/>
      <c r="O56" s="2"/>
      <c r="P56" s="2"/>
      <c r="Q56" s="2"/>
      <c r="R56" s="2"/>
      <c r="S56" s="2"/>
      <c r="T56" s="2"/>
      <c r="U56" s="2"/>
      <c r="V56" s="2"/>
      <c r="W56" s="2"/>
      <c r="X56" s="2"/>
      <c r="Y56" s="2"/>
      <c r="Z56" s="2"/>
      <c r="AA56" s="2"/>
      <c r="AB56" s="2"/>
      <c r="AD56" s="2" t="s">
        <v>31</v>
      </c>
      <c r="AE56" s="199">
        <f>IF(ISBLANK($AE$8),0,$AE$8)</f>
        <v>0</v>
      </c>
      <c r="AF56" s="199"/>
      <c r="AG56" s="199"/>
      <c r="AH56" s="199"/>
      <c r="AI56" s="199"/>
      <c r="AJ56" s="199"/>
      <c r="AK56" s="2"/>
      <c r="AL56" s="62"/>
      <c r="AM56" s="62"/>
      <c r="AN56" s="62"/>
      <c r="AO56" s="62"/>
      <c r="AP56" s="62"/>
      <c r="AV56" s="20">
        <f>AV55+1</f>
        <v>12</v>
      </c>
      <c r="AW56" s="25" t="s">
        <v>368</v>
      </c>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row>
    <row r="57" spans="2:87" ht="15" customHeight="1" x14ac:dyDescent="0.3">
      <c r="B57" s="1" t="s">
        <v>468</v>
      </c>
      <c r="AK57" s="2"/>
      <c r="AL57" s="62"/>
      <c r="AN57" s="62"/>
      <c r="AO57" s="62"/>
      <c r="AP57" s="62"/>
    </row>
    <row r="58" spans="2:87" ht="4.95" customHeight="1" x14ac:dyDescent="0.3">
      <c r="AK58" s="2"/>
      <c r="AL58" s="62"/>
      <c r="AN58" s="62"/>
      <c r="AO58" s="62"/>
      <c r="AP58" s="62"/>
    </row>
    <row r="59" spans="2:87" ht="15" customHeight="1" x14ac:dyDescent="0.3">
      <c r="B59" s="9" t="s">
        <v>170</v>
      </c>
      <c r="I59" s="156"/>
      <c r="J59" s="25" t="s">
        <v>171</v>
      </c>
      <c r="L59" s="156"/>
      <c r="M59" s="25" t="s">
        <v>172</v>
      </c>
      <c r="O59" s="156"/>
      <c r="P59" s="25" t="s">
        <v>173</v>
      </c>
      <c r="R59" s="156"/>
      <c r="S59" s="25" t="s">
        <v>174</v>
      </c>
      <c r="AK59" s="2"/>
      <c r="AL59" s="83">
        <f>IF(AND(ISBLANK(I59),ISBLANK(L59),ISBLANK(O59),ISBLANK(R59)),1,2)</f>
        <v>1</v>
      </c>
      <c r="AM59" s="83">
        <f>IF(OR(O59&gt;0,R59&gt;0),2,1)</f>
        <v>1</v>
      </c>
      <c r="AN59" s="83">
        <f>IF(O59&gt;0,3,1)</f>
        <v>1</v>
      </c>
      <c r="AO59" s="83">
        <f>IF(R59&gt;0,3,1)</f>
        <v>1</v>
      </c>
      <c r="AP59" s="62"/>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row>
    <row r="60" spans="2:87" ht="4.95" customHeight="1" x14ac:dyDescent="0.3">
      <c r="AK60" s="2"/>
      <c r="AN60" s="62"/>
      <c r="AO60" s="62"/>
      <c r="AP60" s="62"/>
      <c r="AV60" s="80"/>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row>
    <row r="61" spans="2:87" ht="15" customHeight="1" x14ac:dyDescent="0.3">
      <c r="C61" s="2" t="s">
        <v>380</v>
      </c>
      <c r="D61" s="156"/>
      <c r="E61" s="25" t="s">
        <v>321</v>
      </c>
      <c r="K61" s="156"/>
      <c r="L61" s="25" t="s">
        <v>322</v>
      </c>
      <c r="R61" s="156"/>
      <c r="S61" s="25" t="s">
        <v>376</v>
      </c>
      <c r="AA61" s="156"/>
      <c r="AB61" s="25" t="s">
        <v>328</v>
      </c>
      <c r="AK61" s="2"/>
      <c r="AL61" s="83">
        <f>IF(AND(ISBLANK(D61),ISBLANK(K61),ISBLANK(R61),ISBLANK(AA61),ISBLANK(AA63),ISBLANK(D63)),1,2)</f>
        <v>1</v>
      </c>
      <c r="AN61" s="62"/>
      <c r="AO61" s="62"/>
      <c r="AP61" s="62"/>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row>
    <row r="62" spans="2:87" ht="4.95" customHeight="1" x14ac:dyDescent="0.3">
      <c r="AK62" s="2"/>
      <c r="AN62" s="62"/>
      <c r="AO62" s="62"/>
      <c r="AP62" s="62"/>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row>
    <row r="63" spans="2:87" ht="15" customHeight="1" x14ac:dyDescent="0.3">
      <c r="D63" s="156"/>
      <c r="E63" s="25" t="s">
        <v>377</v>
      </c>
      <c r="R63" s="156"/>
      <c r="S63" s="25" t="s">
        <v>378</v>
      </c>
      <c r="AA63" s="156"/>
      <c r="AB63" s="25" t="s">
        <v>324</v>
      </c>
      <c r="AD63" s="209"/>
      <c r="AE63" s="209"/>
      <c r="AF63" s="209"/>
      <c r="AG63" s="209"/>
      <c r="AH63" s="209"/>
      <c r="AI63" s="209"/>
      <c r="AJ63" s="209"/>
      <c r="AK63" s="2"/>
      <c r="AL63" s="83">
        <f>IF(ISBLANK(AA63),1,2)</f>
        <v>1</v>
      </c>
      <c r="AN63" s="62"/>
      <c r="AO63" s="62"/>
      <c r="AP63" s="62"/>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row>
    <row r="64" spans="2:87" ht="15" customHeight="1" x14ac:dyDescent="0.3">
      <c r="AK64" s="2"/>
      <c r="AN64" s="62"/>
      <c r="AO64" s="62"/>
      <c r="AP64" s="62"/>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row>
    <row r="65" spans="2:87" ht="15" customHeight="1" x14ac:dyDescent="0.3">
      <c r="C65" s="2" t="s">
        <v>379</v>
      </c>
      <c r="D65" s="156"/>
      <c r="E65" s="25" t="s">
        <v>325</v>
      </c>
      <c r="K65" s="156"/>
      <c r="L65" s="25" t="s">
        <v>326</v>
      </c>
      <c r="R65" s="156"/>
      <c r="S65" s="25" t="s">
        <v>327</v>
      </c>
      <c r="AA65" s="156"/>
      <c r="AB65" s="25" t="s">
        <v>323</v>
      </c>
      <c r="AK65" s="2"/>
      <c r="AL65" s="83">
        <f>IF(AND(ISBLANK(D65),ISBLANK(K65),ISBLANK(R65),ISBLANK(AA65),ISBLANK(D67)),1,2)</f>
        <v>1</v>
      </c>
      <c r="AN65" s="62"/>
      <c r="AO65" s="62"/>
      <c r="AP65" s="62"/>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row>
    <row r="66" spans="2:87" ht="4.95" customHeight="1" x14ac:dyDescent="0.3">
      <c r="AK66" s="2"/>
      <c r="AN66" s="62"/>
      <c r="AO66" s="62"/>
      <c r="AP66" s="62"/>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row>
    <row r="67" spans="2:87" ht="15" customHeight="1" x14ac:dyDescent="0.3">
      <c r="D67" s="156"/>
      <c r="E67" s="25" t="s">
        <v>324</v>
      </c>
      <c r="G67" s="172"/>
      <c r="H67" s="172"/>
      <c r="I67" s="172"/>
      <c r="J67" s="172"/>
      <c r="K67" s="172"/>
      <c r="L67" s="172"/>
      <c r="M67" s="172"/>
      <c r="N67" s="172"/>
      <c r="O67" s="172"/>
      <c r="P67" s="172"/>
      <c r="Q67" s="172"/>
      <c r="R67" s="172"/>
      <c r="S67" s="172"/>
      <c r="T67" s="172"/>
      <c r="AK67" s="2"/>
      <c r="AL67" s="83">
        <f>IF(ISBLANK(D67),1,2)</f>
        <v>1</v>
      </c>
      <c r="AN67" s="62"/>
      <c r="AO67" s="62"/>
      <c r="AP67" s="62"/>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row>
    <row r="68" spans="2:87" ht="4.95" customHeight="1" x14ac:dyDescent="0.3">
      <c r="AK68" s="2"/>
      <c r="AN68" s="62"/>
      <c r="AO68" s="62"/>
      <c r="AP68" s="62"/>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row>
    <row r="69" spans="2:87" ht="15" customHeight="1" x14ac:dyDescent="0.3">
      <c r="B69" s="25" t="s">
        <v>329</v>
      </c>
      <c r="G69" s="177"/>
      <c r="H69" s="177"/>
      <c r="I69" s="177"/>
      <c r="J69" s="25" t="s">
        <v>176</v>
      </c>
      <c r="W69" s="2" t="s">
        <v>210</v>
      </c>
      <c r="X69" s="156"/>
      <c r="Y69" s="25" t="s">
        <v>109</v>
      </c>
      <c r="Z69" s="2"/>
      <c r="AA69" s="156"/>
      <c r="AB69" s="25" t="s">
        <v>110</v>
      </c>
      <c r="AK69" s="2"/>
      <c r="AL69" s="83">
        <f>IF(AND(ISBLANK(X69),ISBLANK(AA69)),1,2)</f>
        <v>1</v>
      </c>
      <c r="AM69" s="83">
        <f>IF(G69&lt;0.5,2,1)</f>
        <v>2</v>
      </c>
      <c r="AN69" s="62"/>
      <c r="AO69" s="62"/>
      <c r="AP69" s="62"/>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row>
    <row r="70" spans="2:87" ht="4.95" customHeight="1" x14ac:dyDescent="0.3">
      <c r="AK70" s="2"/>
      <c r="AN70" s="62"/>
      <c r="AO70" s="62"/>
      <c r="AP70" s="62"/>
      <c r="AW70" s="80"/>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row>
    <row r="71" spans="2:87" ht="15" customHeight="1" x14ac:dyDescent="0.3">
      <c r="F71" s="2" t="s">
        <v>197</v>
      </c>
      <c r="G71" s="177"/>
      <c r="H71" s="177"/>
      <c r="I71" s="25" t="s">
        <v>198</v>
      </c>
      <c r="O71" s="2" t="s">
        <v>196</v>
      </c>
      <c r="P71" s="177"/>
      <c r="Q71" s="177"/>
      <c r="R71" s="177"/>
      <c r="S71" s="25" t="s">
        <v>32</v>
      </c>
      <c r="AE71" s="2" t="s">
        <v>529</v>
      </c>
      <c r="AF71" s="173"/>
      <c r="AG71" s="173"/>
      <c r="AH71" s="173"/>
      <c r="AI71" s="25" t="s">
        <v>39</v>
      </c>
      <c r="AK71" s="2"/>
      <c r="AM71" s="89">
        <f>O80-AF71</f>
        <v>0</v>
      </c>
      <c r="AN71" s="83">
        <f>IF(AM71&lt;2,2,1)</f>
        <v>2</v>
      </c>
      <c r="AO71" s="62"/>
      <c r="AP71" s="62"/>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row>
    <row r="72" spans="2:87" ht="4.95" customHeight="1" x14ac:dyDescent="0.3">
      <c r="K72" s="2"/>
      <c r="O72" s="2"/>
      <c r="W72" s="2"/>
      <c r="AE72" s="2"/>
      <c r="AK72" s="2"/>
      <c r="AN72" s="62"/>
      <c r="AO72" s="62"/>
      <c r="AP72" s="62"/>
    </row>
    <row r="73" spans="2:87" ht="15" customHeight="1" x14ac:dyDescent="0.3">
      <c r="I73" s="2" t="s">
        <v>178</v>
      </c>
      <c r="J73" s="156"/>
      <c r="K73" s="25" t="s">
        <v>109</v>
      </c>
      <c r="L73" s="2"/>
      <c r="M73" s="156"/>
      <c r="N73" s="25" t="s">
        <v>110</v>
      </c>
      <c r="Q73" s="2" t="s">
        <v>177</v>
      </c>
      <c r="R73" s="172"/>
      <c r="S73" s="172"/>
      <c r="T73" s="172"/>
      <c r="U73" s="172"/>
      <c r="V73" s="172"/>
      <c r="W73" s="172"/>
      <c r="X73" s="172"/>
      <c r="Y73" s="172"/>
      <c r="Z73" s="172"/>
      <c r="AA73" s="172"/>
      <c r="AB73" s="172"/>
      <c r="AC73" s="172"/>
      <c r="AD73" s="172"/>
      <c r="AE73" s="172"/>
      <c r="AF73" s="172"/>
      <c r="AG73" s="172"/>
      <c r="AH73" s="172"/>
      <c r="AK73" s="2"/>
      <c r="AL73" s="83">
        <f>IF(AND(ISBLANK(J73),ISBLANK(M73)),1,2)</f>
        <v>1</v>
      </c>
      <c r="AM73" s="83">
        <f>IF(ISBLANK(J73),1,2)</f>
        <v>1</v>
      </c>
      <c r="AN73" s="62"/>
      <c r="AO73" s="62"/>
      <c r="AP73" s="62"/>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row>
    <row r="74" spans="2:87" ht="15" customHeight="1" x14ac:dyDescent="0.3">
      <c r="G74" s="2"/>
      <c r="H74" s="2"/>
      <c r="I74" s="2"/>
      <c r="J74" s="2"/>
      <c r="K74" s="2"/>
      <c r="L74" s="2"/>
      <c r="W74" s="2"/>
      <c r="X74" s="2"/>
      <c r="Y74" s="2"/>
      <c r="AK74" s="2"/>
      <c r="AN74" s="62"/>
      <c r="AO74" s="62"/>
      <c r="AP74" s="62"/>
      <c r="AV74" s="80"/>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row>
    <row r="75" spans="2:87" ht="14.55" customHeight="1" x14ac:dyDescent="0.3">
      <c r="B75" s="67" t="s">
        <v>186</v>
      </c>
      <c r="K75" s="4" t="s">
        <v>179</v>
      </c>
      <c r="O75" s="182" t="s">
        <v>180</v>
      </c>
      <c r="P75" s="182"/>
      <c r="Q75" s="182"/>
      <c r="T75" s="182" t="s">
        <v>335</v>
      </c>
      <c r="U75" s="182"/>
      <c r="V75" s="182"/>
      <c r="W75" s="182"/>
      <c r="Z75" s="182" t="s">
        <v>336</v>
      </c>
      <c r="AA75" s="182"/>
      <c r="AB75" s="182"/>
      <c r="AC75" s="182"/>
      <c r="AF75" s="182" t="s">
        <v>337</v>
      </c>
      <c r="AG75" s="182"/>
      <c r="AH75" s="182"/>
      <c r="AN75" s="62"/>
      <c r="AO75" s="62"/>
      <c r="AP75" s="62"/>
      <c r="AV75" s="80"/>
      <c r="AW75" s="80"/>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row>
    <row r="76" spans="2:87" ht="14.55" customHeight="1" x14ac:dyDescent="0.3">
      <c r="I76" s="2" t="s">
        <v>330</v>
      </c>
      <c r="J76" s="177"/>
      <c r="K76" s="177"/>
      <c r="L76" s="177"/>
      <c r="M76" s="25" t="s">
        <v>38</v>
      </c>
      <c r="O76" s="177"/>
      <c r="P76" s="177"/>
      <c r="Q76" s="177"/>
      <c r="R76" s="25" t="s">
        <v>39</v>
      </c>
      <c r="T76" s="198"/>
      <c r="U76" s="198"/>
      <c r="V76" s="198"/>
      <c r="W76" s="198"/>
      <c r="X76" s="25" t="s">
        <v>36</v>
      </c>
      <c r="Z76" s="198"/>
      <c r="AA76" s="198"/>
      <c r="AB76" s="198"/>
      <c r="AC76" s="198"/>
      <c r="AD76" s="25" t="s">
        <v>34</v>
      </c>
      <c r="AF76" s="177"/>
      <c r="AG76" s="177"/>
      <c r="AH76" s="177"/>
      <c r="AI76" s="25" t="s">
        <v>198</v>
      </c>
      <c r="AN76" s="62"/>
      <c r="AO76" s="62"/>
      <c r="AP76" s="62"/>
      <c r="AV76" s="80"/>
      <c r="AW76" s="80"/>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row>
    <row r="77" spans="2:87" ht="14.55" customHeight="1" x14ac:dyDescent="0.3">
      <c r="I77" s="2" t="s">
        <v>331</v>
      </c>
      <c r="J77" s="171"/>
      <c r="K77" s="171"/>
      <c r="L77" s="171"/>
      <c r="M77" s="25" t="s">
        <v>38</v>
      </c>
      <c r="O77" s="171"/>
      <c r="P77" s="171"/>
      <c r="Q77" s="171"/>
      <c r="R77" s="25" t="s">
        <v>39</v>
      </c>
      <c r="T77" s="176"/>
      <c r="U77" s="176"/>
      <c r="V77" s="176"/>
      <c r="W77" s="176"/>
      <c r="X77" s="25" t="s">
        <v>36</v>
      </c>
      <c r="Z77" s="176"/>
      <c r="AA77" s="176"/>
      <c r="AB77" s="176"/>
      <c r="AC77" s="176"/>
      <c r="AD77" s="25" t="s">
        <v>34</v>
      </c>
      <c r="AF77" s="171"/>
      <c r="AG77" s="171"/>
      <c r="AH77" s="171"/>
      <c r="AI77" s="25" t="s">
        <v>198</v>
      </c>
      <c r="AN77" s="62"/>
      <c r="AO77" s="62"/>
      <c r="AP77" s="62"/>
      <c r="AV77" s="80"/>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row>
    <row r="78" spans="2:87" ht="14.55" customHeight="1" x14ac:dyDescent="0.3">
      <c r="I78" s="2" t="s">
        <v>332</v>
      </c>
      <c r="J78" s="171"/>
      <c r="K78" s="171"/>
      <c r="L78" s="171"/>
      <c r="M78" s="25" t="s">
        <v>38</v>
      </c>
      <c r="O78" s="171"/>
      <c r="P78" s="171"/>
      <c r="Q78" s="171"/>
      <c r="R78" s="25" t="s">
        <v>39</v>
      </c>
      <c r="T78" s="176"/>
      <c r="U78" s="176"/>
      <c r="V78" s="176"/>
      <c r="W78" s="176"/>
      <c r="X78" s="25" t="s">
        <v>36</v>
      </c>
      <c r="Z78" s="176"/>
      <c r="AA78" s="176"/>
      <c r="AB78" s="176"/>
      <c r="AC78" s="176"/>
      <c r="AD78" s="25" t="s">
        <v>34</v>
      </c>
      <c r="AF78" s="171"/>
      <c r="AG78" s="171"/>
      <c r="AH78" s="171"/>
      <c r="AI78" s="25" t="s">
        <v>198</v>
      </c>
      <c r="AN78" s="62"/>
      <c r="AO78" s="62"/>
      <c r="AP78" s="62"/>
      <c r="AV78" s="20"/>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row>
    <row r="79" spans="2:87" ht="15" customHeight="1" x14ac:dyDescent="0.3">
      <c r="I79" s="2" t="s">
        <v>333</v>
      </c>
      <c r="J79" s="171"/>
      <c r="K79" s="171"/>
      <c r="L79" s="171"/>
      <c r="M79" s="25" t="s">
        <v>38</v>
      </c>
      <c r="O79" s="171"/>
      <c r="P79" s="171"/>
      <c r="Q79" s="171"/>
      <c r="R79" s="25" t="s">
        <v>39</v>
      </c>
      <c r="T79" s="176"/>
      <c r="U79" s="176"/>
      <c r="V79" s="176"/>
      <c r="W79" s="176"/>
      <c r="X79" s="25" t="s">
        <v>36</v>
      </c>
      <c r="Z79" s="176"/>
      <c r="AA79" s="176"/>
      <c r="AB79" s="176"/>
      <c r="AC79" s="176"/>
      <c r="AD79" s="25" t="s">
        <v>34</v>
      </c>
      <c r="AF79" s="171"/>
      <c r="AG79" s="171"/>
      <c r="AH79" s="171"/>
      <c r="AI79" s="25" t="s">
        <v>198</v>
      </c>
      <c r="AN79" s="62"/>
      <c r="AO79" s="62"/>
      <c r="AP79" s="62"/>
      <c r="BA79" s="80"/>
      <c r="BB79" s="80"/>
      <c r="BC79" s="80"/>
      <c r="BD79" s="80"/>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row>
    <row r="80" spans="2:87" ht="15" customHeight="1" x14ac:dyDescent="0.3">
      <c r="I80" s="2" t="s">
        <v>531</v>
      </c>
      <c r="J80" s="171"/>
      <c r="K80" s="171"/>
      <c r="L80" s="171"/>
      <c r="M80" s="25" t="s">
        <v>38</v>
      </c>
      <c r="O80" s="171"/>
      <c r="P80" s="171"/>
      <c r="Q80" s="171"/>
      <c r="R80" s="25" t="s">
        <v>39</v>
      </c>
      <c r="T80" s="176"/>
      <c r="U80" s="176"/>
      <c r="V80" s="176"/>
      <c r="W80" s="176"/>
      <c r="X80" s="25" t="s">
        <v>36</v>
      </c>
      <c r="Z80" s="176"/>
      <c r="AA80" s="176"/>
      <c r="AB80" s="176"/>
      <c r="AC80" s="176"/>
      <c r="AD80" s="25" t="s">
        <v>34</v>
      </c>
      <c r="AF80" s="171"/>
      <c r="AG80" s="171"/>
      <c r="AH80" s="171"/>
      <c r="AI80" s="25" t="s">
        <v>198</v>
      </c>
      <c r="AN80" s="62"/>
      <c r="AO80" s="62"/>
      <c r="AP80" s="62"/>
      <c r="BA80" s="80"/>
      <c r="BB80" s="80"/>
      <c r="BC80" s="80"/>
      <c r="BD80" s="80"/>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row>
    <row r="81" spans="2:90" ht="4.95" customHeight="1" x14ac:dyDescent="0.3">
      <c r="L81" s="2"/>
      <c r="M81" s="26"/>
      <c r="N81" s="26"/>
      <c r="O81" s="26"/>
      <c r="R81" s="26"/>
      <c r="S81" s="26"/>
      <c r="T81" s="26"/>
      <c r="W81" s="26"/>
      <c r="X81" s="26"/>
      <c r="Y81" s="26"/>
      <c r="AN81" s="62"/>
      <c r="AO81" s="62"/>
      <c r="AP81" s="62"/>
      <c r="BA81" s="80"/>
      <c r="BB81" s="80"/>
      <c r="BC81" s="80"/>
      <c r="BD81" s="80"/>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row>
    <row r="82" spans="2:90" ht="15" customHeight="1" x14ac:dyDescent="0.3">
      <c r="I82" s="2" t="s">
        <v>338</v>
      </c>
      <c r="J82" s="156"/>
      <c r="K82" s="25" t="s">
        <v>109</v>
      </c>
      <c r="L82" s="2"/>
      <c r="M82" s="156"/>
      <c r="N82" s="25" t="s">
        <v>110</v>
      </c>
      <c r="Q82" s="2" t="s">
        <v>177</v>
      </c>
      <c r="R82" s="172"/>
      <c r="S82" s="172"/>
      <c r="T82" s="172"/>
      <c r="U82" s="172"/>
      <c r="V82" s="172"/>
      <c r="W82" s="172"/>
      <c r="X82" s="172"/>
      <c r="Y82" s="172"/>
      <c r="Z82" s="172"/>
      <c r="AA82" s="172"/>
      <c r="AB82" s="172"/>
      <c r="AC82" s="172"/>
      <c r="AD82" s="172"/>
      <c r="AE82" s="172"/>
      <c r="AF82" s="172"/>
      <c r="AG82" s="172"/>
      <c r="AH82" s="172"/>
      <c r="AK82" s="2"/>
      <c r="AL82" s="83">
        <f>IF(AND(ISBLANK(J82),ISBLANK(M82)),1,2)</f>
        <v>1</v>
      </c>
      <c r="AM82" s="83">
        <f>IF(ISBLANK(J82),1,2)</f>
        <v>1</v>
      </c>
      <c r="AN82" s="62"/>
      <c r="AO82" s="62"/>
      <c r="AP82" s="62"/>
      <c r="BA82" s="80"/>
      <c r="BB82" s="80"/>
      <c r="BC82" s="80"/>
      <c r="BD82" s="80"/>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row>
    <row r="83" spans="2:90" ht="15" customHeight="1" x14ac:dyDescent="0.3">
      <c r="AN83" s="62"/>
      <c r="AO83" s="62"/>
      <c r="AP83" s="62"/>
      <c r="BA83" s="80"/>
      <c r="BB83" s="80"/>
      <c r="BC83" s="80"/>
      <c r="BD83" s="80"/>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row>
    <row r="84" spans="2:90" ht="14.55" customHeight="1" x14ac:dyDescent="0.3">
      <c r="B84" s="67" t="s">
        <v>183</v>
      </c>
      <c r="L84" s="2" t="s">
        <v>146</v>
      </c>
      <c r="M84" s="172"/>
      <c r="N84" s="172"/>
      <c r="O84" s="172"/>
      <c r="P84" s="172"/>
      <c r="AC84" s="156"/>
      <c r="AD84" s="25" t="s">
        <v>187</v>
      </c>
      <c r="AL84" s="83">
        <f>IF(ISBLANK(M84),1,2)</f>
        <v>1</v>
      </c>
      <c r="AM84" s="83">
        <f>IF(ISBLANK(AC84),1,2)</f>
        <v>1</v>
      </c>
      <c r="AN84" s="62"/>
      <c r="AO84" s="62"/>
      <c r="AP84" s="62"/>
      <c r="BA84" s="80"/>
      <c r="BB84" s="80"/>
      <c r="BC84" s="80"/>
      <c r="BD84" s="80"/>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row>
    <row r="85" spans="2:90" ht="14.55" customHeight="1" x14ac:dyDescent="0.3">
      <c r="L85" s="2" t="s">
        <v>185</v>
      </c>
      <c r="M85" s="171"/>
      <c r="N85" s="171"/>
      <c r="O85" s="171"/>
      <c r="P85" s="25" t="s">
        <v>39</v>
      </c>
      <c r="V85" s="2" t="s">
        <v>145</v>
      </c>
      <c r="W85" s="177"/>
      <c r="X85" s="177"/>
      <c r="Y85" s="177"/>
      <c r="Z85" s="25" t="s">
        <v>38</v>
      </c>
      <c r="AN85" s="62"/>
      <c r="AO85" s="62"/>
      <c r="AP85" s="62"/>
      <c r="BA85" s="80"/>
      <c r="BB85" s="80"/>
      <c r="BC85" s="80"/>
      <c r="BD85" s="80"/>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row>
    <row r="86" spans="2:90" ht="14.55" customHeight="1" x14ac:dyDescent="0.3">
      <c r="L86" s="2" t="s">
        <v>184</v>
      </c>
      <c r="M86" s="171"/>
      <c r="N86" s="171"/>
      <c r="O86" s="171"/>
      <c r="P86" s="25" t="s">
        <v>39</v>
      </c>
      <c r="V86" s="2" t="s">
        <v>145</v>
      </c>
      <c r="W86" s="171"/>
      <c r="X86" s="171"/>
      <c r="Y86" s="171"/>
      <c r="Z86" s="25" t="s">
        <v>38</v>
      </c>
      <c r="AN86" s="62"/>
      <c r="AO86" s="62"/>
      <c r="AP86" s="62"/>
      <c r="AV86" s="80"/>
      <c r="AZ86" s="80"/>
      <c r="BA86" s="80"/>
      <c r="BB86" s="80"/>
      <c r="BC86" s="80"/>
      <c r="BD86" s="80"/>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row>
    <row r="87" spans="2:90" ht="15" customHeight="1" x14ac:dyDescent="0.3">
      <c r="AN87" s="62"/>
      <c r="AO87" s="62"/>
      <c r="AP87" s="62"/>
      <c r="AV87" s="80"/>
      <c r="AZ87" s="80"/>
      <c r="BA87" s="80"/>
      <c r="BB87" s="80"/>
      <c r="BC87" s="80"/>
      <c r="BD87" s="80"/>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24"/>
    </row>
    <row r="88" spans="2:90" ht="14.55" customHeight="1" x14ac:dyDescent="0.3">
      <c r="B88" s="67" t="s">
        <v>339</v>
      </c>
      <c r="L88" s="2" t="s">
        <v>146</v>
      </c>
      <c r="M88" s="172"/>
      <c r="N88" s="172"/>
      <c r="O88" s="172"/>
      <c r="P88" s="172"/>
      <c r="AC88" s="156"/>
      <c r="AD88" s="25" t="s">
        <v>340</v>
      </c>
      <c r="AL88" s="83">
        <f>IF(ISBLANK(M88),1,2)</f>
        <v>1</v>
      </c>
      <c r="AM88" s="83">
        <f>IF(ISBLANK(AC88),1,2)</f>
        <v>1</v>
      </c>
      <c r="AN88" s="62"/>
      <c r="AO88" s="62"/>
      <c r="AP88" s="62"/>
      <c r="AV88" s="80"/>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24"/>
    </row>
    <row r="89" spans="2:90" ht="14.55" customHeight="1" x14ac:dyDescent="0.3">
      <c r="L89" s="2" t="s">
        <v>145</v>
      </c>
      <c r="M89" s="171"/>
      <c r="N89" s="171"/>
      <c r="O89" s="171"/>
      <c r="P89" s="25" t="s">
        <v>38</v>
      </c>
      <c r="V89" s="2" t="s">
        <v>341</v>
      </c>
      <c r="W89" s="204"/>
      <c r="X89" s="204"/>
      <c r="Y89" s="204"/>
      <c r="Z89" s="25" t="s">
        <v>181</v>
      </c>
      <c r="AN89" s="62"/>
      <c r="AO89" s="62"/>
      <c r="AP89" s="62"/>
      <c r="AV89" s="80"/>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24"/>
    </row>
    <row r="90" spans="2:90" ht="15" customHeight="1" x14ac:dyDescent="0.3">
      <c r="AN90" s="62"/>
      <c r="AO90" s="62"/>
      <c r="AP90" s="62"/>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24"/>
    </row>
    <row r="91" spans="2:90" ht="14.55" customHeight="1" x14ac:dyDescent="0.3">
      <c r="B91" s="67" t="s">
        <v>199</v>
      </c>
      <c r="L91" s="2" t="s">
        <v>146</v>
      </c>
      <c r="M91" s="172"/>
      <c r="N91" s="172"/>
      <c r="O91" s="172"/>
      <c r="P91" s="172"/>
      <c r="V91" s="2" t="s">
        <v>147</v>
      </c>
      <c r="W91" s="172"/>
      <c r="X91" s="172"/>
      <c r="Y91" s="172"/>
      <c r="AC91" s="156"/>
      <c r="AD91" s="25" t="s">
        <v>216</v>
      </c>
      <c r="AL91" s="83">
        <f>IF(ISBLANK(M91),1,2)</f>
        <v>1</v>
      </c>
      <c r="AM91" s="83">
        <f>IF(ISBLANK(AC91),1,2)</f>
        <v>1</v>
      </c>
      <c r="AN91" s="62"/>
      <c r="AO91" s="62"/>
      <c r="AP91" s="62"/>
      <c r="AV91" s="80"/>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24"/>
    </row>
    <row r="92" spans="2:90" ht="4.95" customHeight="1" x14ac:dyDescent="0.3">
      <c r="C92" s="67"/>
      <c r="L92" s="2"/>
      <c r="M92" s="2"/>
      <c r="N92" s="2"/>
      <c r="O92" s="2"/>
      <c r="P92" s="2"/>
      <c r="Q92" s="2"/>
      <c r="R92" s="2"/>
      <c r="S92" s="2"/>
      <c r="T92" s="2"/>
      <c r="U92" s="2"/>
      <c r="V92" s="2"/>
      <c r="W92" s="2"/>
      <c r="X92" s="2"/>
      <c r="Y92" s="2"/>
      <c r="Z92" s="2"/>
      <c r="AA92" s="2"/>
      <c r="AB92" s="2"/>
      <c r="AC92" s="2"/>
      <c r="AD92" s="2"/>
      <c r="AN92" s="62"/>
      <c r="AO92" s="62"/>
      <c r="AP92" s="62"/>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24"/>
    </row>
    <row r="93" spans="2:90" ht="14.55" customHeight="1" x14ac:dyDescent="0.3">
      <c r="L93" s="2" t="s">
        <v>145</v>
      </c>
      <c r="M93" s="177"/>
      <c r="N93" s="177"/>
      <c r="O93" s="177"/>
      <c r="P93" s="25" t="s">
        <v>38</v>
      </c>
      <c r="V93" s="2" t="s">
        <v>144</v>
      </c>
      <c r="W93" s="177"/>
      <c r="X93" s="177"/>
      <c r="Y93" s="177"/>
      <c r="Z93" s="25" t="s">
        <v>39</v>
      </c>
      <c r="AE93" s="2" t="s">
        <v>148</v>
      </c>
      <c r="AF93" s="177"/>
      <c r="AG93" s="177"/>
      <c r="AH93" s="177"/>
      <c r="AI93" s="25" t="s">
        <v>39</v>
      </c>
      <c r="AL93" s="83">
        <f>IF(ISBLANK(M93),1,2)</f>
        <v>1</v>
      </c>
      <c r="AM93" s="83">
        <f>IF(AND(ISBLANK(W93),ISBLANK(AF93)),1,2)</f>
        <v>1</v>
      </c>
      <c r="AN93" s="62"/>
      <c r="AO93" s="62"/>
      <c r="AP93" s="62"/>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24"/>
    </row>
    <row r="94" spans="2:90" ht="4.95" customHeight="1" x14ac:dyDescent="0.3">
      <c r="AN94" s="62"/>
      <c r="AO94" s="62"/>
      <c r="AP94" s="62"/>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24"/>
    </row>
    <row r="95" spans="2:90" ht="14.55" customHeight="1" x14ac:dyDescent="0.3">
      <c r="L95" s="2" t="s">
        <v>211</v>
      </c>
      <c r="M95" s="177"/>
      <c r="N95" s="177"/>
      <c r="O95" s="177"/>
      <c r="P95" s="25" t="s">
        <v>39</v>
      </c>
      <c r="V95" s="2" t="s">
        <v>212</v>
      </c>
      <c r="W95" s="177"/>
      <c r="X95" s="177"/>
      <c r="Y95" s="177"/>
      <c r="Z95" s="25" t="s">
        <v>39</v>
      </c>
      <c r="AD95" s="2" t="s">
        <v>142</v>
      </c>
      <c r="AE95" s="156"/>
      <c r="AF95" s="25" t="s">
        <v>109</v>
      </c>
      <c r="AG95" s="2"/>
      <c r="AH95" s="156"/>
      <c r="AI95" s="25" t="s">
        <v>110</v>
      </c>
      <c r="AL95" s="83">
        <f>IF(AND(ISBLANK(AE95),ISBLANK(AH95)),1,2)</f>
        <v>1</v>
      </c>
      <c r="AM95" s="83">
        <f>IF(ISBLANK(AC95),1,2)</f>
        <v>1</v>
      </c>
      <c r="AN95" s="62"/>
      <c r="AO95" s="62"/>
      <c r="AP95" s="62"/>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24"/>
    </row>
    <row r="96" spans="2:90" ht="15" customHeight="1" x14ac:dyDescent="0.3">
      <c r="AN96" s="62"/>
      <c r="AO96" s="62"/>
      <c r="AP96" s="62"/>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24"/>
    </row>
    <row r="97" spans="2:90" ht="14.55" customHeight="1" x14ac:dyDescent="0.3">
      <c r="B97" s="67" t="s">
        <v>200</v>
      </c>
      <c r="L97" s="2" t="s">
        <v>146</v>
      </c>
      <c r="M97" s="172"/>
      <c r="N97" s="172"/>
      <c r="O97" s="172"/>
      <c r="P97" s="172"/>
      <c r="V97" s="2" t="s">
        <v>147</v>
      </c>
      <c r="W97" s="215"/>
      <c r="X97" s="215"/>
      <c r="Y97" s="215"/>
      <c r="AC97" s="156"/>
      <c r="AD97" s="25" t="s">
        <v>534</v>
      </c>
      <c r="AL97" s="83">
        <f>IF(ISBLANK(M97),1,2)</f>
        <v>1</v>
      </c>
      <c r="AM97" s="83">
        <f>IF(ISBLANK(AC97),1,2)</f>
        <v>1</v>
      </c>
      <c r="AN97" s="62"/>
      <c r="AO97" s="62"/>
      <c r="AP97" s="62"/>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24"/>
    </row>
    <row r="98" spans="2:90" ht="14.55" customHeight="1" x14ac:dyDescent="0.3">
      <c r="L98" s="2" t="s">
        <v>145</v>
      </c>
      <c r="M98" s="177"/>
      <c r="N98" s="177"/>
      <c r="O98" s="177"/>
      <c r="P98" s="25" t="s">
        <v>38</v>
      </c>
      <c r="V98" s="2" t="s">
        <v>189</v>
      </c>
      <c r="W98" s="177"/>
      <c r="X98" s="177"/>
      <c r="Y98" s="177"/>
      <c r="Z98" s="25" t="s">
        <v>39</v>
      </c>
      <c r="AL98" s="83">
        <f>IF(ISBLANK(M98),1,2)</f>
        <v>1</v>
      </c>
      <c r="AM98" s="83">
        <f>IF(AND(ISBLANK(M99),ISBLANK(W99)),1,2)</f>
        <v>1</v>
      </c>
      <c r="AN98" s="62"/>
      <c r="AO98" s="62"/>
      <c r="AP98" s="62"/>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24"/>
    </row>
    <row r="99" spans="2:90" ht="14.55" customHeight="1" x14ac:dyDescent="0.3">
      <c r="L99" s="2" t="s">
        <v>514</v>
      </c>
      <c r="M99" s="171"/>
      <c r="N99" s="171"/>
      <c r="O99" s="171"/>
      <c r="P99" s="25" t="s">
        <v>39</v>
      </c>
      <c r="V99" s="2" t="s">
        <v>515</v>
      </c>
      <c r="W99" s="177"/>
      <c r="X99" s="177"/>
      <c r="Y99" s="177"/>
      <c r="Z99" s="25" t="s">
        <v>39</v>
      </c>
      <c r="AL99" s="19"/>
      <c r="AM99" s="19"/>
      <c r="AN99" s="62"/>
      <c r="AO99" s="62"/>
      <c r="AP99" s="62"/>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24"/>
    </row>
    <row r="100" spans="2:90" ht="15" customHeight="1" x14ac:dyDescent="0.3">
      <c r="AE100" s="2"/>
      <c r="AF100" s="26"/>
      <c r="AG100" s="26"/>
      <c r="AH100" s="26"/>
      <c r="AN100" s="62"/>
      <c r="AO100" s="62"/>
      <c r="AP100" s="62"/>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24"/>
    </row>
    <row r="101" spans="2:90" ht="14.55" customHeight="1" x14ac:dyDescent="0.3">
      <c r="B101" s="67" t="s">
        <v>201</v>
      </c>
      <c r="L101" s="2" t="s">
        <v>202</v>
      </c>
      <c r="M101" s="177"/>
      <c r="N101" s="177"/>
      <c r="O101" s="177"/>
      <c r="P101" s="25" t="s">
        <v>38</v>
      </c>
      <c r="V101" s="2" t="s">
        <v>203</v>
      </c>
      <c r="W101" s="177"/>
      <c r="X101" s="177"/>
      <c r="Y101" s="177"/>
      <c r="Z101" s="25" t="s">
        <v>204</v>
      </c>
      <c r="AN101" s="62"/>
      <c r="AO101" s="62"/>
      <c r="AP101" s="19"/>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24"/>
    </row>
    <row r="102" spans="2:90" ht="4.95" customHeight="1" x14ac:dyDescent="0.3">
      <c r="AN102" s="62"/>
      <c r="AO102" s="62"/>
      <c r="AP102" s="62"/>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24"/>
    </row>
    <row r="103" spans="2:90" ht="14.55" customHeight="1" x14ac:dyDescent="0.3">
      <c r="B103" s="67" t="s">
        <v>205</v>
      </c>
      <c r="L103" s="2" t="s">
        <v>202</v>
      </c>
      <c r="M103" s="177"/>
      <c r="N103" s="177"/>
      <c r="O103" s="177"/>
      <c r="P103" s="25" t="s">
        <v>38</v>
      </c>
      <c r="V103" s="2" t="s">
        <v>203</v>
      </c>
      <c r="W103" s="177"/>
      <c r="X103" s="177"/>
      <c r="Y103" s="177"/>
      <c r="Z103" s="25" t="s">
        <v>204</v>
      </c>
      <c r="AE103" s="2" t="s">
        <v>206</v>
      </c>
      <c r="AF103" s="204"/>
      <c r="AG103" s="204"/>
      <c r="AH103" s="204"/>
      <c r="AI103" s="25" t="s">
        <v>207</v>
      </c>
      <c r="AN103" s="62"/>
      <c r="AO103" s="62"/>
      <c r="AP103" s="19"/>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24"/>
    </row>
    <row r="104" spans="2:90" ht="15" customHeight="1" x14ac:dyDescent="0.3">
      <c r="AL104" s="62"/>
      <c r="AM104" s="62"/>
      <c r="AN104" s="62"/>
      <c r="AO104" s="62"/>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row>
    <row r="105" spans="2:90" ht="15" customHeight="1" x14ac:dyDescent="0.3">
      <c r="AL105" s="62"/>
      <c r="AM105" s="19"/>
      <c r="AN105" s="62"/>
      <c r="AO105" s="19"/>
      <c r="AP105" s="19"/>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row>
    <row r="106" spans="2:90" ht="15" customHeight="1" x14ac:dyDescent="0.3">
      <c r="B106" s="181">
        <f>Tables!$F$13</f>
        <v>46266</v>
      </c>
      <c r="C106" s="181"/>
      <c r="D106" s="181"/>
      <c r="E106" s="181"/>
      <c r="F106" s="181"/>
      <c r="G106" s="181"/>
      <c r="H106" s="181"/>
      <c r="R106" s="182" t="s">
        <v>292</v>
      </c>
      <c r="S106" s="182"/>
      <c r="T106" s="182"/>
      <c r="U106" s="182"/>
      <c r="AK106" s="27"/>
      <c r="AL106" s="62"/>
      <c r="AM106" s="19"/>
      <c r="AN106" s="62"/>
      <c r="AO106" s="19"/>
      <c r="AP106" s="19"/>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row>
    <row r="107" spans="2:90" ht="15" customHeight="1" x14ac:dyDescent="0.3">
      <c r="C107" s="2" t="s">
        <v>1</v>
      </c>
      <c r="D107" s="179">
        <f>IF(ISBLANK($E$7),0,$E$7)</f>
        <v>0</v>
      </c>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32"/>
      <c r="AD107" s="2" t="s">
        <v>20</v>
      </c>
      <c r="AE107" s="200">
        <f>IF(ISBLANK($AE$7),0,$AE$7)</f>
        <v>0</v>
      </c>
      <c r="AF107" s="200"/>
      <c r="AG107" s="200"/>
      <c r="AH107" s="200"/>
      <c r="AI107" s="200"/>
      <c r="AJ107" s="200"/>
      <c r="AL107" s="62"/>
      <c r="AM107" s="19"/>
      <c r="AN107" s="62"/>
      <c r="AO107" s="19"/>
      <c r="AP107" s="19"/>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row>
    <row r="108" spans="2:90" ht="15" customHeight="1" x14ac:dyDescent="0.3">
      <c r="C108" s="33"/>
      <c r="D108" s="33"/>
      <c r="E108" s="33"/>
      <c r="F108" s="33"/>
      <c r="G108" s="33"/>
      <c r="H108" s="33"/>
      <c r="I108" s="33"/>
      <c r="J108" s="2"/>
      <c r="K108" s="2"/>
      <c r="L108" s="2"/>
      <c r="M108" s="2"/>
      <c r="N108" s="33"/>
      <c r="O108" s="32"/>
      <c r="P108" s="32"/>
      <c r="Q108" s="32"/>
      <c r="R108" s="32"/>
      <c r="S108" s="32"/>
      <c r="T108" s="32"/>
      <c r="U108" s="32"/>
      <c r="V108" s="32"/>
      <c r="W108" s="32"/>
      <c r="X108" s="32"/>
      <c r="Y108" s="32"/>
      <c r="Z108" s="32"/>
      <c r="AD108" s="2" t="s">
        <v>31</v>
      </c>
      <c r="AE108" s="199">
        <f>IF(ISBLANK($AE$8),0,$AE$8)</f>
        <v>0</v>
      </c>
      <c r="AF108" s="199"/>
      <c r="AG108" s="199"/>
      <c r="AH108" s="199"/>
      <c r="AI108" s="199"/>
      <c r="AJ108" s="199"/>
      <c r="AL108" s="62"/>
      <c r="AM108" s="19"/>
      <c r="AN108" s="62"/>
      <c r="AO108" s="19"/>
      <c r="AP108" s="19"/>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row>
    <row r="109" spans="2:90" ht="15" customHeight="1" x14ac:dyDescent="0.3">
      <c r="B109" s="1" t="s">
        <v>208</v>
      </c>
      <c r="C109" s="1"/>
      <c r="D109" s="1"/>
      <c r="E109" s="1"/>
      <c r="F109" s="1"/>
      <c r="G109" s="1"/>
      <c r="H109" s="1"/>
      <c r="I109" s="1"/>
      <c r="AL109" s="62"/>
      <c r="AM109" s="19"/>
      <c r="AN109" s="62"/>
      <c r="AO109" s="19"/>
      <c r="AP109" s="19"/>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row>
    <row r="110" spans="2:90" ht="15" customHeight="1" x14ac:dyDescent="0.3">
      <c r="C110" s="182" t="s">
        <v>16</v>
      </c>
      <c r="D110" s="182"/>
      <c r="E110" s="182"/>
      <c r="F110" s="4"/>
      <c r="G110" s="4"/>
      <c r="H110" s="4"/>
      <c r="I110" s="4" t="s">
        <v>17</v>
      </c>
      <c r="K110" s="4"/>
      <c r="L110" s="4"/>
      <c r="M110" s="25" t="s">
        <v>43</v>
      </c>
      <c r="T110" s="4" t="s">
        <v>16</v>
      </c>
      <c r="V110" s="4"/>
      <c r="W110" s="4"/>
      <c r="Y110" s="4" t="s">
        <v>17</v>
      </c>
      <c r="Z110" s="4"/>
      <c r="AB110" s="25" t="s">
        <v>43</v>
      </c>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row>
    <row r="111" spans="2:90" ht="14.55" customHeight="1" x14ac:dyDescent="0.3">
      <c r="C111" s="177"/>
      <c r="D111" s="177"/>
      <c r="E111" s="177"/>
      <c r="F111" s="25" t="s">
        <v>39</v>
      </c>
      <c r="H111" s="198"/>
      <c r="I111" s="198"/>
      <c r="J111" s="198"/>
      <c r="K111" s="25" t="s">
        <v>36</v>
      </c>
      <c r="M111" s="198"/>
      <c r="N111" s="198"/>
      <c r="O111" s="198"/>
      <c r="P111" s="198"/>
      <c r="Q111" s="25" t="s">
        <v>34</v>
      </c>
      <c r="S111" s="177"/>
      <c r="T111" s="177"/>
      <c r="U111" s="177"/>
      <c r="V111" s="25" t="s">
        <v>39</v>
      </c>
      <c r="W111" s="27"/>
      <c r="X111" s="198"/>
      <c r="Y111" s="198"/>
      <c r="Z111" s="198"/>
      <c r="AA111" s="25" t="s">
        <v>36</v>
      </c>
      <c r="AC111" s="198"/>
      <c r="AD111" s="198"/>
      <c r="AE111" s="198"/>
      <c r="AF111" s="198"/>
      <c r="AG111" s="25" t="s">
        <v>34</v>
      </c>
      <c r="AL111" s="83">
        <f t="shared" ref="AL111:AL117" si="6">IF(ISBLANK(C111),1,2)</f>
        <v>1</v>
      </c>
      <c r="AM111" s="83">
        <f t="shared" ref="AM111:AM117" si="7">IF(ISBLANK(S111),1,2)</f>
        <v>1</v>
      </c>
      <c r="AN111" s="83">
        <f>IF(ISBLANK(H111),1,2)</f>
        <v>1</v>
      </c>
      <c r="AO111" s="83">
        <f>IF(ISBLANK(M111),1,2)</f>
        <v>1</v>
      </c>
      <c r="AP111" s="19"/>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row>
    <row r="112" spans="2:90" ht="14.55" customHeight="1" x14ac:dyDescent="0.3">
      <c r="C112" s="171"/>
      <c r="D112" s="171"/>
      <c r="E112" s="171"/>
      <c r="F112" s="25" t="s">
        <v>39</v>
      </c>
      <c r="H112" s="176"/>
      <c r="I112" s="176"/>
      <c r="J112" s="176"/>
      <c r="K112" s="25" t="s">
        <v>36</v>
      </c>
      <c r="M112" s="176"/>
      <c r="N112" s="176"/>
      <c r="O112" s="176"/>
      <c r="P112" s="176"/>
      <c r="Q112" s="25" t="s">
        <v>34</v>
      </c>
      <c r="S112" s="171"/>
      <c r="T112" s="171"/>
      <c r="U112" s="171"/>
      <c r="V112" s="25" t="s">
        <v>39</v>
      </c>
      <c r="W112" s="27"/>
      <c r="X112" s="176"/>
      <c r="Y112" s="176"/>
      <c r="Z112" s="176"/>
      <c r="AA112" s="25" t="s">
        <v>36</v>
      </c>
      <c r="AC112" s="176"/>
      <c r="AD112" s="176"/>
      <c r="AE112" s="176"/>
      <c r="AF112" s="176"/>
      <c r="AG112" s="25" t="s">
        <v>34</v>
      </c>
      <c r="AL112" s="83">
        <f t="shared" si="6"/>
        <v>1</v>
      </c>
      <c r="AM112" s="83">
        <f t="shared" si="7"/>
        <v>1</v>
      </c>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row>
    <row r="113" spans="2:89" ht="14.55" customHeight="1" x14ac:dyDescent="0.3">
      <c r="C113" s="171"/>
      <c r="D113" s="171"/>
      <c r="E113" s="171"/>
      <c r="F113" s="25" t="s">
        <v>39</v>
      </c>
      <c r="H113" s="176"/>
      <c r="I113" s="176"/>
      <c r="J113" s="176"/>
      <c r="K113" s="25" t="s">
        <v>36</v>
      </c>
      <c r="M113" s="176"/>
      <c r="N113" s="176"/>
      <c r="O113" s="176"/>
      <c r="P113" s="176"/>
      <c r="Q113" s="25" t="s">
        <v>34</v>
      </c>
      <c r="S113" s="171"/>
      <c r="T113" s="171"/>
      <c r="U113" s="171"/>
      <c r="V113" s="25" t="s">
        <v>39</v>
      </c>
      <c r="W113" s="27"/>
      <c r="X113" s="176"/>
      <c r="Y113" s="176"/>
      <c r="Z113" s="176"/>
      <c r="AA113" s="25" t="s">
        <v>36</v>
      </c>
      <c r="AC113" s="176"/>
      <c r="AD113" s="176"/>
      <c r="AE113" s="176"/>
      <c r="AF113" s="176"/>
      <c r="AG113" s="25" t="s">
        <v>34</v>
      </c>
      <c r="AL113" s="83">
        <f t="shared" si="6"/>
        <v>1</v>
      </c>
      <c r="AM113" s="83">
        <f t="shared" si="7"/>
        <v>1</v>
      </c>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row>
    <row r="114" spans="2:89" ht="14.55" customHeight="1" x14ac:dyDescent="0.3">
      <c r="C114" s="171"/>
      <c r="D114" s="171"/>
      <c r="E114" s="171"/>
      <c r="F114" s="25" t="s">
        <v>39</v>
      </c>
      <c r="H114" s="176"/>
      <c r="I114" s="176"/>
      <c r="J114" s="176"/>
      <c r="K114" s="25" t="s">
        <v>36</v>
      </c>
      <c r="M114" s="176"/>
      <c r="N114" s="176"/>
      <c r="O114" s="176"/>
      <c r="P114" s="176"/>
      <c r="Q114" s="25" t="s">
        <v>34</v>
      </c>
      <c r="S114" s="171"/>
      <c r="T114" s="171"/>
      <c r="U114" s="171"/>
      <c r="V114" s="25" t="s">
        <v>39</v>
      </c>
      <c r="W114" s="27"/>
      <c r="X114" s="176"/>
      <c r="Y114" s="176"/>
      <c r="Z114" s="176"/>
      <c r="AA114" s="25" t="s">
        <v>36</v>
      </c>
      <c r="AC114" s="176"/>
      <c r="AD114" s="176"/>
      <c r="AE114" s="176"/>
      <c r="AF114" s="176"/>
      <c r="AG114" s="25" t="s">
        <v>34</v>
      </c>
      <c r="AL114" s="83">
        <f t="shared" si="6"/>
        <v>1</v>
      </c>
      <c r="AM114" s="83">
        <f t="shared" si="7"/>
        <v>1</v>
      </c>
      <c r="AR114" s="19" t="s">
        <v>519</v>
      </c>
      <c r="AS114" s="19" t="s">
        <v>522</v>
      </c>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row>
    <row r="115" spans="2:89" ht="14.55" customHeight="1" x14ac:dyDescent="0.3">
      <c r="C115" s="171"/>
      <c r="D115" s="171"/>
      <c r="E115" s="171"/>
      <c r="F115" s="25" t="s">
        <v>39</v>
      </c>
      <c r="H115" s="176"/>
      <c r="I115" s="176"/>
      <c r="J115" s="176"/>
      <c r="K115" s="25" t="s">
        <v>36</v>
      </c>
      <c r="M115" s="176"/>
      <c r="N115" s="176"/>
      <c r="O115" s="176"/>
      <c r="P115" s="176"/>
      <c r="Q115" s="25" t="s">
        <v>34</v>
      </c>
      <c r="S115" s="171"/>
      <c r="T115" s="171"/>
      <c r="U115" s="171"/>
      <c r="V115" s="25" t="s">
        <v>39</v>
      </c>
      <c r="W115" s="27"/>
      <c r="X115" s="176"/>
      <c r="Y115" s="176"/>
      <c r="Z115" s="176"/>
      <c r="AA115" s="25" t="s">
        <v>36</v>
      </c>
      <c r="AC115" s="176"/>
      <c r="AD115" s="176"/>
      <c r="AE115" s="176"/>
      <c r="AF115" s="176"/>
      <c r="AG115" s="25" t="s">
        <v>34</v>
      </c>
      <c r="AL115" s="83">
        <f t="shared" si="6"/>
        <v>1</v>
      </c>
      <c r="AM115" s="83">
        <f t="shared" si="7"/>
        <v>1</v>
      </c>
      <c r="AR115" s="19">
        <v>1</v>
      </c>
      <c r="AS115" s="108">
        <v>1.5</v>
      </c>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row>
    <row r="116" spans="2:89" ht="14.55" customHeight="1" x14ac:dyDescent="0.3">
      <c r="C116" s="171"/>
      <c r="D116" s="171"/>
      <c r="E116" s="171"/>
      <c r="F116" s="25" t="s">
        <v>39</v>
      </c>
      <c r="H116" s="176"/>
      <c r="I116" s="176"/>
      <c r="J116" s="176"/>
      <c r="K116" s="25" t="s">
        <v>36</v>
      </c>
      <c r="M116" s="176"/>
      <c r="N116" s="176"/>
      <c r="O116" s="176"/>
      <c r="P116" s="176"/>
      <c r="Q116" s="25" t="s">
        <v>34</v>
      </c>
      <c r="S116" s="171"/>
      <c r="T116" s="171"/>
      <c r="U116" s="171"/>
      <c r="V116" s="25" t="s">
        <v>39</v>
      </c>
      <c r="W116" s="27"/>
      <c r="X116" s="176"/>
      <c r="Y116" s="176"/>
      <c r="Z116" s="176"/>
      <c r="AA116" s="25" t="s">
        <v>36</v>
      </c>
      <c r="AC116" s="176"/>
      <c r="AD116" s="176"/>
      <c r="AE116" s="176"/>
      <c r="AF116" s="176"/>
      <c r="AG116" s="25" t="s">
        <v>34</v>
      </c>
      <c r="AL116" s="83">
        <f t="shared" si="6"/>
        <v>1</v>
      </c>
      <c r="AM116" s="83">
        <f t="shared" si="7"/>
        <v>1</v>
      </c>
      <c r="AR116" s="19">
        <v>2</v>
      </c>
      <c r="AS116" s="108">
        <v>1.5</v>
      </c>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row>
    <row r="117" spans="2:89" ht="14.55" customHeight="1" x14ac:dyDescent="0.3">
      <c r="C117" s="171"/>
      <c r="D117" s="171"/>
      <c r="E117" s="171"/>
      <c r="F117" s="25" t="s">
        <v>39</v>
      </c>
      <c r="H117" s="176"/>
      <c r="I117" s="176"/>
      <c r="J117" s="176"/>
      <c r="K117" s="25" t="s">
        <v>36</v>
      </c>
      <c r="M117" s="176"/>
      <c r="N117" s="176"/>
      <c r="O117" s="176"/>
      <c r="P117" s="176"/>
      <c r="Q117" s="25" t="s">
        <v>34</v>
      </c>
      <c r="S117" s="171"/>
      <c r="T117" s="171"/>
      <c r="U117" s="171"/>
      <c r="V117" s="25" t="s">
        <v>39</v>
      </c>
      <c r="W117" s="27"/>
      <c r="X117" s="176"/>
      <c r="Y117" s="176"/>
      <c r="Z117" s="176"/>
      <c r="AA117" s="25" t="s">
        <v>36</v>
      </c>
      <c r="AC117" s="176"/>
      <c r="AD117" s="176"/>
      <c r="AE117" s="176"/>
      <c r="AF117" s="176"/>
      <c r="AG117" s="25" t="s">
        <v>34</v>
      </c>
      <c r="AL117" s="83">
        <f t="shared" si="6"/>
        <v>1</v>
      </c>
      <c r="AM117" s="83">
        <f t="shared" si="7"/>
        <v>1</v>
      </c>
      <c r="AR117" s="19">
        <v>3</v>
      </c>
      <c r="AS117" s="108">
        <v>2.7</v>
      </c>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row>
    <row r="118" spans="2:89" ht="14.55" customHeight="1" x14ac:dyDescent="0.3">
      <c r="G118" s="26" t="s">
        <v>44</v>
      </c>
      <c r="H118" s="184">
        <f>$W$21</f>
        <v>0</v>
      </c>
      <c r="I118" s="184"/>
      <c r="J118" s="184"/>
      <c r="K118" s="25" t="s">
        <v>34</v>
      </c>
      <c r="O118" s="64"/>
      <c r="P118" s="34"/>
      <c r="R118" s="26" t="s">
        <v>45</v>
      </c>
      <c r="S118" s="176"/>
      <c r="T118" s="176"/>
      <c r="U118" s="176"/>
      <c r="V118" s="25" t="s">
        <v>34</v>
      </c>
      <c r="AB118" s="34" t="s">
        <v>247</v>
      </c>
      <c r="AC118" s="167"/>
      <c r="AD118" s="167"/>
      <c r="AE118" s="167"/>
      <c r="AF118" s="167"/>
      <c r="AG118" s="25" t="s">
        <v>39</v>
      </c>
      <c r="AL118" s="62" t="s">
        <v>133</v>
      </c>
      <c r="AM118" s="83">
        <f>IF(OR(S118=H118,S118&gt;H118),1,2)</f>
        <v>1</v>
      </c>
      <c r="AR118" s="19">
        <v>4</v>
      </c>
      <c r="AS118" s="108">
        <v>3.5</v>
      </c>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row>
    <row r="119" spans="2:89" ht="15" customHeight="1" x14ac:dyDescent="0.3">
      <c r="AK119" s="27"/>
      <c r="AM119" s="83">
        <f>IF(OR(ISBLANK(H118),ISBLANK(S118)),2,1)</f>
        <v>2</v>
      </c>
      <c r="AP119" s="62" t="s">
        <v>360</v>
      </c>
      <c r="AQ119" s="83">
        <f>IF(ISBLANK(O120),1,IF(ISTEXT(O120)=TRUE,3,2))</f>
        <v>1</v>
      </c>
      <c r="AR119" s="19">
        <v>5</v>
      </c>
      <c r="AS119" s="108">
        <v>4.2</v>
      </c>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row>
    <row r="120" spans="2:89" ht="15" customHeight="1" x14ac:dyDescent="0.3">
      <c r="B120" s="1" t="s">
        <v>14</v>
      </c>
      <c r="N120" s="28" t="s">
        <v>40</v>
      </c>
      <c r="O120" s="196"/>
      <c r="P120" s="196"/>
      <c r="Q120" s="196"/>
      <c r="R120" s="196"/>
      <c r="V120" s="2" t="s">
        <v>41</v>
      </c>
      <c r="W120" s="197"/>
      <c r="X120" s="197"/>
      <c r="Y120" s="197"/>
      <c r="Z120" s="197"/>
      <c r="AL120" s="62" t="s">
        <v>130</v>
      </c>
      <c r="AM120" s="83">
        <f>SUM(AM121,AO120)</f>
        <v>0</v>
      </c>
      <c r="AN120" s="62" t="s">
        <v>129</v>
      </c>
      <c r="AO120" s="83">
        <f>IF(ISBLANK(W120),0,1)</f>
        <v>0</v>
      </c>
      <c r="AP120" s="62" t="s">
        <v>361</v>
      </c>
      <c r="AQ120" s="83">
        <f>IF(ISBLANK(W120),1,IF(ISTEXT(W120)=TRUE,3,2))</f>
        <v>1</v>
      </c>
      <c r="AR120" s="19"/>
      <c r="AS120" s="19"/>
      <c r="AT120" s="19"/>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row>
    <row r="121" spans="2:89" ht="15" customHeight="1" x14ac:dyDescent="0.3">
      <c r="AL121" s="62" t="s">
        <v>128</v>
      </c>
      <c r="AM121" s="83">
        <f>IF(ISBLANK(O120),0,1)</f>
        <v>0</v>
      </c>
      <c r="AR121" s="19"/>
      <c r="AS121" s="19"/>
      <c r="AT121" s="19"/>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row>
    <row r="122" spans="2:89" ht="15" customHeight="1" x14ac:dyDescent="0.3">
      <c r="B122" s="1" t="s">
        <v>410</v>
      </c>
      <c r="C122" s="1"/>
      <c r="D122" s="1"/>
      <c r="E122" s="1"/>
      <c r="AE122" s="2" t="s">
        <v>521</v>
      </c>
      <c r="AF122" s="156"/>
      <c r="AG122" s="25" t="s">
        <v>109</v>
      </c>
      <c r="AI122" s="156"/>
      <c r="AJ122" s="30" t="s">
        <v>127</v>
      </c>
      <c r="AL122" s="83">
        <f>IF(AND(ISBLANK(AF122),ISBLANK(AI122)),1,2)</f>
        <v>1</v>
      </c>
      <c r="AM122" s="83">
        <f>IF(ISBLANK(AF122),1,3)</f>
        <v>1</v>
      </c>
      <c r="AQ122" s="19" t="s">
        <v>518</v>
      </c>
      <c r="AR122" s="19" t="s">
        <v>519</v>
      </c>
      <c r="AS122" s="19" t="s">
        <v>179</v>
      </c>
      <c r="AT122" s="19"/>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c r="CF122" s="68"/>
      <c r="CG122" s="68"/>
      <c r="CH122" s="68"/>
      <c r="CI122" s="68"/>
      <c r="CJ122" s="68"/>
      <c r="CK122" s="68"/>
    </row>
    <row r="123" spans="2:89" ht="4.95" customHeight="1" x14ac:dyDescent="0.3">
      <c r="AN123" s="62"/>
      <c r="AO123" s="62"/>
      <c r="AP123" s="62"/>
      <c r="AQ123" s="19"/>
      <c r="AT123" s="19"/>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row>
    <row r="124" spans="2:89" ht="15" customHeight="1" x14ac:dyDescent="0.3">
      <c r="E124" s="2" t="s">
        <v>177</v>
      </c>
      <c r="F124" s="172"/>
      <c r="G124" s="172"/>
      <c r="H124" s="172"/>
      <c r="I124" s="172"/>
      <c r="J124" s="172"/>
      <c r="K124" s="172"/>
      <c r="L124" s="172"/>
      <c r="M124" s="172"/>
      <c r="N124" s="172"/>
      <c r="U124" s="2" t="str">
        <f>IF(AQ124="Yes","Riprap Class: ","")</f>
        <v/>
      </c>
      <c r="V124" s="216"/>
      <c r="W124" s="216"/>
      <c r="AE124" s="2" t="s">
        <v>126</v>
      </c>
      <c r="AF124" s="156"/>
      <c r="AG124" s="25" t="s">
        <v>109</v>
      </c>
      <c r="AI124" s="156"/>
      <c r="AJ124" s="30" t="s">
        <v>127</v>
      </c>
      <c r="AL124" s="83">
        <f>IF(ISBLANK(F124),1,0)</f>
        <v>1</v>
      </c>
      <c r="AM124" s="88">
        <f>SUM(AL124,AO124,AL126:AO126)</f>
        <v>6</v>
      </c>
      <c r="AN124" s="62"/>
      <c r="AO124" s="88">
        <f>IF(AND(ISBLANK(AF124),ISBLANK(AI124)),1,0)</f>
        <v>1</v>
      </c>
      <c r="AP124" s="83">
        <f>IF(ISBLANK(AI124),1,2)</f>
        <v>1</v>
      </c>
      <c r="AQ124" s="83" t="str">
        <f>IF(F124="Riprap apron","Yes","No")</f>
        <v>No</v>
      </c>
      <c r="AR124" s="83">
        <f>V124</f>
        <v>0</v>
      </c>
      <c r="AS124" s="89" t="e">
        <f>VLOOKUP(AR124,$AR$115:$AS$119,2)</f>
        <v>#N/A</v>
      </c>
      <c r="AT124" s="19"/>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row>
    <row r="125" spans="2:89" ht="4.95" customHeight="1" x14ac:dyDescent="0.3">
      <c r="AN125" s="62"/>
      <c r="AO125" s="62"/>
      <c r="AP125" s="62"/>
      <c r="AQ125" s="19"/>
      <c r="AT125" s="19"/>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row>
    <row r="126" spans="2:89" ht="15" customHeight="1" x14ac:dyDescent="0.3">
      <c r="E126" s="2" t="s">
        <v>148</v>
      </c>
      <c r="F126" s="173"/>
      <c r="G126" s="173"/>
      <c r="H126" s="173"/>
      <c r="I126" s="25" t="s">
        <v>39</v>
      </c>
      <c r="L126" s="2" t="s">
        <v>144</v>
      </c>
      <c r="M126" s="173"/>
      <c r="N126" s="173"/>
      <c r="O126" s="173"/>
      <c r="P126" s="25" t="s">
        <v>39</v>
      </c>
      <c r="U126" s="2" t="s">
        <v>202</v>
      </c>
      <c r="V126" s="177"/>
      <c r="W126" s="177"/>
      <c r="X126" s="25" t="s">
        <v>39</v>
      </c>
      <c r="AE126" s="2" t="s">
        <v>381</v>
      </c>
      <c r="AF126" s="156"/>
      <c r="AG126" s="25" t="s">
        <v>109</v>
      </c>
      <c r="AI126" s="156"/>
      <c r="AJ126" s="30" t="s">
        <v>127</v>
      </c>
      <c r="AL126" s="83">
        <f>IF(ISBLANK(F126),1,0)</f>
        <v>1</v>
      </c>
      <c r="AM126" s="83">
        <f>IF(ISBLANK(M126),1,0)</f>
        <v>1</v>
      </c>
      <c r="AN126" s="83">
        <f>IF(ISBLANK(V126),1,0)</f>
        <v>1</v>
      </c>
      <c r="AO126" s="88">
        <f>IF(AND(ISBLANK(AF126),ISBLANK(AI126)),1,0)</f>
        <v>1</v>
      </c>
      <c r="AP126" s="83">
        <f>IF(ISBLANK(AI126),1,2)</f>
        <v>1</v>
      </c>
      <c r="AQ126" s="83">
        <f>IF(OR(ISBLANK(V126),ISERROR(AS124)),1,IF(V126&lt;AS124,2,3))</f>
        <v>1</v>
      </c>
      <c r="AT126" s="19"/>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row>
    <row r="127" spans="2:89" ht="15" customHeight="1" x14ac:dyDescent="0.3">
      <c r="AL127" s="10" t="s">
        <v>67</v>
      </c>
      <c r="AM127" s="10" t="s">
        <v>238</v>
      </c>
      <c r="AN127" s="10" t="s">
        <v>68</v>
      </c>
      <c r="AO127" s="19" t="s">
        <v>274</v>
      </c>
      <c r="AP127" s="19" t="s">
        <v>308</v>
      </c>
      <c r="AQ127" s="10" t="s">
        <v>68</v>
      </c>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row>
    <row r="128" spans="2:89" ht="30" customHeight="1" x14ac:dyDescent="0.3">
      <c r="B128" s="1" t="s">
        <v>188</v>
      </c>
      <c r="J128" s="1"/>
      <c r="K128" s="1"/>
      <c r="L128" s="1"/>
      <c r="M128" s="183" t="s">
        <v>54</v>
      </c>
      <c r="N128" s="183"/>
      <c r="O128" s="183"/>
      <c r="P128" s="65"/>
      <c r="Q128" s="183" t="s">
        <v>469</v>
      </c>
      <c r="R128" s="183"/>
      <c r="S128" s="183"/>
      <c r="T128" s="65"/>
      <c r="U128" s="183" t="s">
        <v>470</v>
      </c>
      <c r="V128" s="183"/>
      <c r="W128" s="183"/>
      <c r="X128" s="183" t="s">
        <v>248</v>
      </c>
      <c r="Y128" s="183"/>
      <c r="Z128" s="183"/>
      <c r="AA128" s="183"/>
      <c r="AB128" s="183"/>
      <c r="AC128" s="183" t="s">
        <v>225</v>
      </c>
      <c r="AD128" s="183"/>
      <c r="AE128" s="183"/>
      <c r="AF128" s="65"/>
      <c r="AG128" s="183" t="s">
        <v>55</v>
      </c>
      <c r="AH128" s="183"/>
      <c r="AI128" s="183"/>
      <c r="AJ128" s="183"/>
      <c r="AL128" s="83">
        <f>SUM(AL129:AL133)</f>
        <v>0</v>
      </c>
      <c r="AM128" s="83">
        <f>SUM(AM129:AM134)</f>
        <v>6</v>
      </c>
      <c r="AN128" s="83">
        <f>SUM(AN129:AN134)</f>
        <v>6</v>
      </c>
      <c r="AO128" s="83">
        <f>SUM(AO129:AO134)</f>
        <v>0</v>
      </c>
      <c r="AP128" s="83">
        <f>SUM(AP129:AP134)</f>
        <v>0</v>
      </c>
      <c r="AQ128" s="87">
        <f>SUM(AQ129:AQ134)</f>
        <v>6</v>
      </c>
      <c r="AR128" s="127"/>
      <c r="AS128" s="127"/>
      <c r="AT128" s="127"/>
      <c r="AU128" s="95"/>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row>
    <row r="129" spans="2:89" ht="15" customHeight="1" x14ac:dyDescent="0.3">
      <c r="E129" s="27"/>
      <c r="F129" s="27"/>
      <c r="G129" s="180">
        <f>Tables!$F$16</f>
        <v>4.21</v>
      </c>
      <c r="H129" s="180"/>
      <c r="K129" s="2" t="str">
        <f>Tables!$D$16</f>
        <v>(2-yr)</v>
      </c>
      <c r="L129" s="2"/>
      <c r="M129" s="173"/>
      <c r="N129" s="173"/>
      <c r="O129" s="173"/>
      <c r="P129" s="6"/>
      <c r="Q129" s="173"/>
      <c r="R129" s="173"/>
      <c r="S129" s="173"/>
      <c r="U129" s="173"/>
      <c r="V129" s="173"/>
      <c r="W129" s="173"/>
      <c r="Y129" s="173"/>
      <c r="Z129" s="173"/>
      <c r="AA129" s="173"/>
      <c r="AC129" s="173"/>
      <c r="AD129" s="173"/>
      <c r="AE129" s="173"/>
      <c r="AG129" s="173"/>
      <c r="AH129" s="173"/>
      <c r="AI129" s="173"/>
      <c r="AL129" s="83"/>
      <c r="AM129" s="83">
        <f>IF(ISBLANK(AC129),1,IF(AC129&gt;$AM$137,1,0))</f>
        <v>1</v>
      </c>
      <c r="AN129" s="83">
        <f>IF(OR(ISBLANK(M129),ISBLANK(AG129)),1,IF(AG129&gt;M129,1,0))</f>
        <v>1</v>
      </c>
      <c r="AO129" s="83">
        <f t="shared" ref="AO129:AO134" si="8">IF(OR($AN$156=0,$AN$174=2),0,IF($AG129&gt;$AN$156,1,0))</f>
        <v>0</v>
      </c>
      <c r="AP129" s="83">
        <f t="shared" ref="AP129:AP134" si="9">IF(OR($AN$158=0,$AN$174=2),0,IF($AG129&gt;$AN$158,1,0))</f>
        <v>0</v>
      </c>
      <c r="AQ129" s="87">
        <f t="shared" ref="AQ129:AQ134" si="10">IF(OR(ISBLANK(M129),ISBLANK(AG129)),1,IF(AG129-M129&gt;-0.5,1,0))</f>
        <v>1</v>
      </c>
      <c r="AR129" s="127"/>
      <c r="AS129" s="127"/>
      <c r="AT129" s="127"/>
      <c r="AU129" s="95"/>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row>
    <row r="130" spans="2:89" ht="15" customHeight="1" x14ac:dyDescent="0.3">
      <c r="E130" s="27"/>
      <c r="F130" s="27"/>
      <c r="G130" s="180">
        <f>Tables!$F$17</f>
        <v>5.24</v>
      </c>
      <c r="H130" s="180"/>
      <c r="K130" s="2" t="str">
        <f>Tables!$D$17</f>
        <v>(5-yr)</v>
      </c>
      <c r="L130" s="2"/>
      <c r="M130" s="173"/>
      <c r="N130" s="173"/>
      <c r="O130" s="173"/>
      <c r="P130" s="6"/>
      <c r="Q130" s="167"/>
      <c r="R130" s="167"/>
      <c r="S130" s="167"/>
      <c r="U130" s="167"/>
      <c r="V130" s="167"/>
      <c r="W130" s="167"/>
      <c r="Y130" s="167"/>
      <c r="Z130" s="167"/>
      <c r="AA130" s="167"/>
      <c r="AC130" s="167"/>
      <c r="AD130" s="167"/>
      <c r="AE130" s="167"/>
      <c r="AG130" s="167"/>
      <c r="AH130" s="167"/>
      <c r="AI130" s="167"/>
      <c r="AL130" s="83"/>
      <c r="AM130" s="83">
        <f t="shared" ref="AM130:AM134" si="11">IF(ISBLANK(AC130),1,IF(AC130&gt;$AM$137,1,0))</f>
        <v>1</v>
      </c>
      <c r="AN130" s="83">
        <f t="shared" ref="AN130:AN134" si="12">IF(OR(ISBLANK(M130),ISBLANK(AG130)),1,IF(AG130&gt;M130,1,0))</f>
        <v>1</v>
      </c>
      <c r="AO130" s="83">
        <f t="shared" si="8"/>
        <v>0</v>
      </c>
      <c r="AP130" s="83">
        <f t="shared" si="9"/>
        <v>0</v>
      </c>
      <c r="AQ130" s="87">
        <f t="shared" si="10"/>
        <v>1</v>
      </c>
      <c r="AR130" s="127"/>
      <c r="AS130" s="127"/>
      <c r="AT130" s="127"/>
      <c r="AU130" s="95"/>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row>
    <row r="131" spans="2:89" ht="15" customHeight="1" x14ac:dyDescent="0.3">
      <c r="E131" s="27"/>
      <c r="F131" s="27"/>
      <c r="G131" s="180">
        <f>Tables!$F$18</f>
        <v>6.17</v>
      </c>
      <c r="H131" s="180"/>
      <c r="K131" s="2" t="str">
        <f>Tables!$D$18</f>
        <v>(10-yr)</v>
      </c>
      <c r="L131" s="2"/>
      <c r="M131" s="173"/>
      <c r="N131" s="173"/>
      <c r="O131" s="173"/>
      <c r="P131" s="6"/>
      <c r="Q131" s="167"/>
      <c r="R131" s="167"/>
      <c r="S131" s="167"/>
      <c r="U131" s="167"/>
      <c r="V131" s="167"/>
      <c r="W131" s="167"/>
      <c r="Y131" s="167"/>
      <c r="Z131" s="167"/>
      <c r="AA131" s="167"/>
      <c r="AC131" s="167"/>
      <c r="AD131" s="167"/>
      <c r="AE131" s="167"/>
      <c r="AG131" s="167"/>
      <c r="AH131" s="167"/>
      <c r="AI131" s="167"/>
      <c r="AL131" s="83"/>
      <c r="AM131" s="83">
        <f t="shared" si="11"/>
        <v>1</v>
      </c>
      <c r="AN131" s="83">
        <f t="shared" si="12"/>
        <v>1</v>
      </c>
      <c r="AO131" s="83">
        <f t="shared" si="8"/>
        <v>0</v>
      </c>
      <c r="AP131" s="83">
        <f t="shared" si="9"/>
        <v>0</v>
      </c>
      <c r="AQ131" s="87">
        <f t="shared" si="10"/>
        <v>1</v>
      </c>
      <c r="AR131" s="127"/>
      <c r="AS131" s="127"/>
      <c r="AT131" s="127"/>
      <c r="AU131" s="95"/>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row>
    <row r="132" spans="2:89" ht="15" customHeight="1" x14ac:dyDescent="0.3">
      <c r="E132" s="27"/>
      <c r="F132" s="27"/>
      <c r="G132" s="180">
        <f>Tables!$F$19</f>
        <v>7.55</v>
      </c>
      <c r="H132" s="180"/>
      <c r="K132" s="2" t="str">
        <f>Tables!$D$19</f>
        <v>(25-yr)</v>
      </c>
      <c r="L132" s="2"/>
      <c r="M132" s="173"/>
      <c r="N132" s="173"/>
      <c r="O132" s="173"/>
      <c r="P132" s="6"/>
      <c r="Q132" s="167"/>
      <c r="R132" s="167"/>
      <c r="S132" s="167"/>
      <c r="U132" s="167"/>
      <c r="V132" s="167"/>
      <c r="W132" s="167"/>
      <c r="Y132" s="167"/>
      <c r="Z132" s="167"/>
      <c r="AA132" s="167"/>
      <c r="AC132" s="167"/>
      <c r="AD132" s="167"/>
      <c r="AE132" s="167"/>
      <c r="AG132" s="167"/>
      <c r="AH132" s="167"/>
      <c r="AI132" s="167"/>
      <c r="AL132" s="83"/>
      <c r="AM132" s="83">
        <f t="shared" si="11"/>
        <v>1</v>
      </c>
      <c r="AN132" s="83">
        <f t="shared" si="12"/>
        <v>1</v>
      </c>
      <c r="AO132" s="83">
        <f t="shared" si="8"/>
        <v>0</v>
      </c>
      <c r="AP132" s="83">
        <f t="shared" si="9"/>
        <v>0</v>
      </c>
      <c r="AQ132" s="87">
        <f t="shared" si="10"/>
        <v>1</v>
      </c>
      <c r="AR132" s="127"/>
      <c r="AS132" s="127"/>
      <c r="AT132" s="127"/>
      <c r="AU132" s="95"/>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row>
    <row r="133" spans="2:89" ht="15" customHeight="1" x14ac:dyDescent="0.3">
      <c r="E133" s="27"/>
      <c r="F133" s="27"/>
      <c r="G133" s="180">
        <f>Tables!$F$20</f>
        <v>8.6999999999999993</v>
      </c>
      <c r="H133" s="180"/>
      <c r="K133" s="2" t="str">
        <f>Tables!$D$20</f>
        <v>(50-yr)</v>
      </c>
      <c r="L133" s="2"/>
      <c r="M133" s="173"/>
      <c r="N133" s="173"/>
      <c r="O133" s="173"/>
      <c r="P133" s="6"/>
      <c r="Q133" s="167"/>
      <c r="R133" s="167"/>
      <c r="S133" s="167"/>
      <c r="U133" s="167"/>
      <c r="V133" s="167"/>
      <c r="W133" s="167"/>
      <c r="Y133" s="167"/>
      <c r="Z133" s="167"/>
      <c r="AA133" s="167"/>
      <c r="AC133" s="167"/>
      <c r="AD133" s="167"/>
      <c r="AE133" s="167"/>
      <c r="AG133" s="167"/>
      <c r="AH133" s="167"/>
      <c r="AI133" s="167"/>
      <c r="AL133" s="83"/>
      <c r="AM133" s="83">
        <f t="shared" si="11"/>
        <v>1</v>
      </c>
      <c r="AN133" s="83">
        <f t="shared" si="12"/>
        <v>1</v>
      </c>
      <c r="AO133" s="83">
        <f t="shared" si="8"/>
        <v>0</v>
      </c>
      <c r="AP133" s="83">
        <f t="shared" si="9"/>
        <v>0</v>
      </c>
      <c r="AQ133" s="87">
        <f t="shared" si="10"/>
        <v>1</v>
      </c>
      <c r="AR133" s="127"/>
      <c r="AS133" s="127"/>
      <c r="AT133" s="127"/>
      <c r="AU133" s="95"/>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row>
    <row r="134" spans="2:89" ht="15" customHeight="1" x14ac:dyDescent="0.3">
      <c r="E134" s="27"/>
      <c r="F134" s="27"/>
      <c r="G134" s="180">
        <f>Tables!$F$21</f>
        <v>9.93</v>
      </c>
      <c r="H134" s="180"/>
      <c r="K134" s="2" t="str">
        <f>Tables!$D$21</f>
        <v>(100-yr)</v>
      </c>
      <c r="L134" s="2"/>
      <c r="M134" s="173"/>
      <c r="N134" s="173"/>
      <c r="O134" s="173"/>
      <c r="P134" s="6"/>
      <c r="Q134" s="167"/>
      <c r="R134" s="167"/>
      <c r="S134" s="167"/>
      <c r="U134" s="167"/>
      <c r="V134" s="167"/>
      <c r="W134" s="167"/>
      <c r="Y134" s="167"/>
      <c r="Z134" s="167"/>
      <c r="AA134" s="167"/>
      <c r="AC134" s="167"/>
      <c r="AD134" s="167"/>
      <c r="AE134" s="167"/>
      <c r="AG134" s="167"/>
      <c r="AH134" s="167"/>
      <c r="AI134" s="167"/>
      <c r="AL134" s="89"/>
      <c r="AM134" s="83">
        <f t="shared" si="11"/>
        <v>1</v>
      </c>
      <c r="AN134" s="83">
        <f t="shared" si="12"/>
        <v>1</v>
      </c>
      <c r="AO134" s="83">
        <f t="shared" si="8"/>
        <v>0</v>
      </c>
      <c r="AP134" s="83">
        <f t="shared" si="9"/>
        <v>0</v>
      </c>
      <c r="AQ134" s="87">
        <f t="shared" si="10"/>
        <v>1</v>
      </c>
      <c r="AR134" s="127"/>
      <c r="AS134" s="127"/>
      <c r="AT134" s="127"/>
      <c r="AU134" s="95"/>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row>
    <row r="135" spans="2:89" ht="15" customHeight="1" x14ac:dyDescent="0.3">
      <c r="Q135" s="25" t="s">
        <v>471</v>
      </c>
    </row>
    <row r="136" spans="2:89" ht="15" customHeight="1" x14ac:dyDescent="0.3">
      <c r="B136" s="5" t="s">
        <v>21</v>
      </c>
    </row>
    <row r="137" spans="2:89" ht="15" customHeight="1" x14ac:dyDescent="0.3">
      <c r="B137" s="187"/>
      <c r="C137" s="188"/>
      <c r="D137" s="188"/>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c r="AA137" s="188"/>
      <c r="AB137" s="188"/>
      <c r="AC137" s="188"/>
      <c r="AD137" s="188"/>
      <c r="AE137" s="188"/>
      <c r="AF137" s="188"/>
      <c r="AG137" s="188"/>
      <c r="AH137" s="188"/>
      <c r="AI137" s="188"/>
      <c r="AJ137" s="189"/>
      <c r="AM137" s="89">
        <f>Tables!F26</f>
        <v>6</v>
      </c>
      <c r="AN137" s="49" t="s">
        <v>254</v>
      </c>
    </row>
    <row r="138" spans="2:89" ht="15" customHeight="1" x14ac:dyDescent="0.3">
      <c r="B138" s="190"/>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191"/>
      <c r="AE138" s="191"/>
      <c r="AF138" s="191"/>
      <c r="AG138" s="191"/>
      <c r="AH138" s="191"/>
      <c r="AI138" s="191"/>
      <c r="AJ138" s="192"/>
    </row>
    <row r="139" spans="2:89" ht="15" customHeight="1" x14ac:dyDescent="0.3">
      <c r="B139" s="190"/>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191"/>
      <c r="AE139" s="191"/>
      <c r="AF139" s="191"/>
      <c r="AG139" s="191"/>
      <c r="AH139" s="191"/>
      <c r="AI139" s="191"/>
      <c r="AJ139" s="192"/>
    </row>
    <row r="140" spans="2:89" ht="15" customHeight="1" x14ac:dyDescent="0.3">
      <c r="B140" s="190"/>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191"/>
      <c r="AE140" s="191"/>
      <c r="AF140" s="191"/>
      <c r="AG140" s="191"/>
      <c r="AH140" s="191"/>
      <c r="AI140" s="191"/>
      <c r="AJ140" s="192"/>
    </row>
    <row r="141" spans="2:89" ht="15" customHeight="1" x14ac:dyDescent="0.3">
      <c r="B141" s="190"/>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191"/>
      <c r="AE141" s="191"/>
      <c r="AF141" s="191"/>
      <c r="AG141" s="191"/>
      <c r="AH141" s="191"/>
      <c r="AI141" s="191"/>
      <c r="AJ141" s="192"/>
    </row>
    <row r="142" spans="2:89" ht="15" customHeight="1" x14ac:dyDescent="0.3">
      <c r="B142" s="190"/>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191"/>
      <c r="AE142" s="191"/>
      <c r="AF142" s="191"/>
      <c r="AG142" s="191"/>
      <c r="AH142" s="191"/>
      <c r="AI142" s="191"/>
      <c r="AJ142" s="192"/>
    </row>
    <row r="143" spans="2:89" ht="15" customHeight="1" x14ac:dyDescent="0.3">
      <c r="B143" s="190"/>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c r="AA143" s="191"/>
      <c r="AB143" s="191"/>
      <c r="AC143" s="191"/>
      <c r="AD143" s="191"/>
      <c r="AE143" s="191"/>
      <c r="AF143" s="191"/>
      <c r="AG143" s="191"/>
      <c r="AH143" s="191"/>
      <c r="AI143" s="191"/>
      <c r="AJ143" s="192"/>
    </row>
    <row r="144" spans="2:89" ht="15" customHeight="1" x14ac:dyDescent="0.3">
      <c r="B144" s="190"/>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91"/>
      <c r="AB144" s="191"/>
      <c r="AC144" s="191"/>
      <c r="AD144" s="191"/>
      <c r="AE144" s="191"/>
      <c r="AF144" s="191"/>
      <c r="AG144" s="191"/>
      <c r="AH144" s="191"/>
      <c r="AI144" s="191"/>
      <c r="AJ144" s="192"/>
    </row>
    <row r="145" spans="2:46" ht="15" customHeight="1" x14ac:dyDescent="0.3">
      <c r="B145" s="190"/>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c r="AA145" s="191"/>
      <c r="AB145" s="191"/>
      <c r="AC145" s="191"/>
      <c r="AD145" s="191"/>
      <c r="AE145" s="191"/>
      <c r="AF145" s="191"/>
      <c r="AG145" s="191"/>
      <c r="AH145" s="191"/>
      <c r="AI145" s="191"/>
      <c r="AJ145" s="192"/>
    </row>
    <row r="146" spans="2:46" ht="15" customHeight="1" x14ac:dyDescent="0.3">
      <c r="B146" s="190"/>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2"/>
      <c r="AP146" s="185" t="s">
        <v>309</v>
      </c>
      <c r="AQ146" s="186"/>
      <c r="AR146" s="19"/>
      <c r="AS146" s="19"/>
      <c r="AT146" s="19"/>
    </row>
    <row r="147" spans="2:46" ht="15" customHeight="1" x14ac:dyDescent="0.3">
      <c r="B147" s="193"/>
      <c r="C147" s="194"/>
      <c r="D147" s="194"/>
      <c r="E147" s="194"/>
      <c r="F147" s="194"/>
      <c r="G147" s="194"/>
      <c r="H147" s="194"/>
      <c r="I147" s="194"/>
      <c r="J147" s="194"/>
      <c r="K147" s="194"/>
      <c r="L147" s="194"/>
      <c r="M147" s="194"/>
      <c r="N147" s="194"/>
      <c r="O147" s="194"/>
      <c r="P147" s="194"/>
      <c r="Q147" s="194"/>
      <c r="R147" s="194"/>
      <c r="S147" s="194"/>
      <c r="T147" s="194"/>
      <c r="U147" s="194"/>
      <c r="V147" s="194"/>
      <c r="W147" s="194"/>
      <c r="X147" s="194"/>
      <c r="Y147" s="194"/>
      <c r="Z147" s="194"/>
      <c r="AA147" s="194"/>
      <c r="AB147" s="194"/>
      <c r="AC147" s="194"/>
      <c r="AD147" s="194"/>
      <c r="AE147" s="194"/>
      <c r="AF147" s="194"/>
      <c r="AG147" s="194"/>
      <c r="AH147" s="194"/>
      <c r="AI147" s="194"/>
      <c r="AJ147" s="195"/>
      <c r="AP147" s="100" t="s">
        <v>306</v>
      </c>
      <c r="AQ147" s="101" t="s">
        <v>134</v>
      </c>
      <c r="AR147" s="19"/>
      <c r="AS147" s="19"/>
      <c r="AT147" s="19"/>
    </row>
    <row r="148" spans="2:46" ht="15" customHeight="1" x14ac:dyDescent="0.3">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P148" s="102">
        <v>2</v>
      </c>
      <c r="AQ148" s="103">
        <f t="shared" ref="AQ148:AQ153" si="13">M129</f>
        <v>0</v>
      </c>
      <c r="AR148" s="128"/>
      <c r="AS148" s="128"/>
      <c r="AT148" s="128"/>
    </row>
    <row r="149" spans="2:46" ht="15" customHeight="1" x14ac:dyDescent="0.3">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P149" s="102">
        <v>5</v>
      </c>
      <c r="AQ149" s="103">
        <f t="shared" si="13"/>
        <v>0</v>
      </c>
      <c r="AR149" s="128"/>
      <c r="AS149" s="128"/>
      <c r="AT149" s="128"/>
    </row>
    <row r="150" spans="2:46" ht="15" customHeight="1" x14ac:dyDescent="0.3">
      <c r="AP150" s="102">
        <v>10</v>
      </c>
      <c r="AQ150" s="103">
        <f t="shared" si="13"/>
        <v>0</v>
      </c>
      <c r="AR150" s="128"/>
      <c r="AS150" s="128"/>
      <c r="AT150" s="128"/>
    </row>
    <row r="151" spans="2:46" ht="15" customHeight="1" x14ac:dyDescent="0.3">
      <c r="B151" s="181">
        <f>Tables!$F$13</f>
        <v>46266</v>
      </c>
      <c r="C151" s="181"/>
      <c r="D151" s="181"/>
      <c r="E151" s="181"/>
      <c r="F151" s="181"/>
      <c r="G151" s="181"/>
      <c r="H151" s="181"/>
      <c r="R151" s="182" t="s">
        <v>293</v>
      </c>
      <c r="S151" s="182"/>
      <c r="T151" s="182"/>
      <c r="U151" s="182"/>
      <c r="AP151" s="102">
        <v>25</v>
      </c>
      <c r="AQ151" s="103">
        <f t="shared" si="13"/>
        <v>0</v>
      </c>
      <c r="AR151" s="128"/>
      <c r="AS151" s="128"/>
      <c r="AT151" s="128"/>
    </row>
    <row r="152" spans="2:46" ht="15" customHeight="1" x14ac:dyDescent="0.3">
      <c r="C152" s="2" t="s">
        <v>1</v>
      </c>
      <c r="D152" s="179">
        <f>IF(ISBLANK($E$7),0,$E$7)</f>
        <v>0</v>
      </c>
      <c r="E152" s="179"/>
      <c r="F152" s="179"/>
      <c r="G152" s="179"/>
      <c r="H152" s="179"/>
      <c r="I152" s="179"/>
      <c r="J152" s="179"/>
      <c r="K152" s="179"/>
      <c r="L152" s="179"/>
      <c r="M152" s="179"/>
      <c r="N152" s="179"/>
      <c r="O152" s="179"/>
      <c r="P152" s="179"/>
      <c r="Q152" s="179"/>
      <c r="R152" s="179"/>
      <c r="S152" s="179"/>
      <c r="T152" s="179"/>
      <c r="U152" s="179"/>
      <c r="V152" s="179"/>
      <c r="W152" s="179"/>
      <c r="X152" s="179"/>
      <c r="Y152" s="179"/>
      <c r="Z152" s="32"/>
      <c r="AD152" s="2" t="s">
        <v>20</v>
      </c>
      <c r="AE152" s="200">
        <f>IF(ISBLANK($AE$7),0,$AE$7)</f>
        <v>0</v>
      </c>
      <c r="AF152" s="200"/>
      <c r="AG152" s="200"/>
      <c r="AH152" s="200"/>
      <c r="AI152" s="200"/>
      <c r="AJ152" s="200"/>
      <c r="AP152" s="102">
        <v>50</v>
      </c>
      <c r="AQ152" s="103">
        <f t="shared" si="13"/>
        <v>0</v>
      </c>
      <c r="AR152" s="10" t="s">
        <v>419</v>
      </c>
    </row>
    <row r="153" spans="2:46" ht="15" customHeight="1" x14ac:dyDescent="0.3">
      <c r="C153" s="33"/>
      <c r="D153" s="33"/>
      <c r="E153" s="33"/>
      <c r="F153" s="33"/>
      <c r="G153" s="33"/>
      <c r="H153" s="33"/>
      <c r="I153" s="33"/>
      <c r="J153" s="2"/>
      <c r="K153" s="2"/>
      <c r="L153" s="2"/>
      <c r="M153" s="2"/>
      <c r="N153" s="33"/>
      <c r="O153" s="32"/>
      <c r="P153" s="32"/>
      <c r="Q153" s="32"/>
      <c r="R153" s="32"/>
      <c r="S153" s="32"/>
      <c r="T153" s="32"/>
      <c r="U153" s="32"/>
      <c r="V153" s="32"/>
      <c r="W153" s="32"/>
      <c r="X153" s="32"/>
      <c r="Y153" s="32"/>
      <c r="Z153" s="32"/>
      <c r="AD153" s="2" t="s">
        <v>31</v>
      </c>
      <c r="AE153" s="199">
        <f>IF(ISBLANK($AE$8),0,$AE$8)</f>
        <v>0</v>
      </c>
      <c r="AF153" s="199"/>
      <c r="AG153" s="199"/>
      <c r="AH153" s="199"/>
      <c r="AI153" s="199"/>
      <c r="AJ153" s="199"/>
      <c r="AP153" s="104">
        <v>100</v>
      </c>
      <c r="AQ153" s="105">
        <f t="shared" si="13"/>
        <v>0</v>
      </c>
      <c r="AR153" s="88">
        <f>IF(AO158="No","2, 5, 10, 25, 50, and 100",IF(R172&gt;0,AP158,IF(AT158=0,AP158,IF(AT158=1,AP158,IF(AT158=2,AP158,IF(AT158=3,Tables!F35,""))))))</f>
        <v>25</v>
      </c>
      <c r="AS153" s="89" t="str">
        <f>IF(AO158="No","2, 5, 10, 25, 50, and 100",IF(R172&gt;0,AL172,IF(AT158=0,AS158,IF(AT158=1,AS156,IF(AT158=2,AS158,IF(AT158=3,Tables!F36,""))))))</f>
        <v>25, 50, and 100</v>
      </c>
    </row>
    <row r="154" spans="2:46" ht="15" customHeight="1" x14ac:dyDescent="0.3">
      <c r="B154" s="1" t="s">
        <v>273</v>
      </c>
      <c r="AJ154" s="153">
        <f>IF(ISBLANK(C158),0,IF(AO158="Yes","Detain the "&amp;AS153&amp;"-yr storm events to a "&amp;AR153&amp;"-yr discharge.",""))</f>
        <v>0</v>
      </c>
      <c r="AN154" s="19" t="s">
        <v>134</v>
      </c>
      <c r="AO154" s="19" t="s">
        <v>305</v>
      </c>
      <c r="AP154" s="19" t="s">
        <v>306</v>
      </c>
      <c r="AQ154" s="19" t="s">
        <v>307</v>
      </c>
    </row>
    <row r="155" spans="2:46" ht="4.95" customHeight="1" x14ac:dyDescent="0.3"/>
    <row r="156" spans="2:46" ht="15" customHeight="1" x14ac:dyDescent="0.3">
      <c r="C156" s="156"/>
      <c r="D156" s="25" t="s">
        <v>109</v>
      </c>
      <c r="F156" s="156"/>
      <c r="G156" s="25" t="s">
        <v>110</v>
      </c>
      <c r="I156" s="25" t="s">
        <v>278</v>
      </c>
      <c r="Y156" s="122"/>
      <c r="AL156" s="83">
        <f>IF(AND(ISBLANK(C156),ISBLANK(F156)),1,2)</f>
        <v>1</v>
      </c>
      <c r="AM156" s="83">
        <f>IF(ISBLANK(C156),1,2)</f>
        <v>1</v>
      </c>
      <c r="AN156" s="89">
        <f>IF(AO156="Yes",IF($AM$156=2,$AQ$156,0),0)</f>
        <v>0</v>
      </c>
      <c r="AO156" s="83" t="str">
        <f>Tables!F29</f>
        <v>No</v>
      </c>
      <c r="AP156" s="88">
        <f>Tables!F31</f>
        <v>25</v>
      </c>
      <c r="AQ156" s="89">
        <f>VLOOKUP(AP156,$AP$148:$AQ$153,2)</f>
        <v>0</v>
      </c>
      <c r="AS156" s="88" t="str">
        <f>Tables!F30</f>
        <v>25, 50, and 100</v>
      </c>
      <c r="AT156" s="108"/>
    </row>
    <row r="157" spans="2:46" ht="4.95" customHeight="1" x14ac:dyDescent="0.3"/>
    <row r="158" spans="2:46" ht="15" customHeight="1" x14ac:dyDescent="0.3">
      <c r="C158" s="156"/>
      <c r="D158" s="25" t="s">
        <v>109</v>
      </c>
      <c r="F158" s="156"/>
      <c r="G158" s="25" t="s">
        <v>110</v>
      </c>
      <c r="I158" s="25" t="s">
        <v>279</v>
      </c>
      <c r="Y158" s="122"/>
      <c r="AL158" s="83">
        <f>IF(AND(ISBLANK(C158),ISBLANK(F158)),1,2)</f>
        <v>1</v>
      </c>
      <c r="AM158" s="83">
        <f>IF(ISBLANK(C158),1,2)</f>
        <v>1</v>
      </c>
      <c r="AN158" s="89">
        <f>IF(AO158="Yes",IF($AM$158=2,$AQ$158,0),0)</f>
        <v>0</v>
      </c>
      <c r="AO158" s="88" t="str">
        <f>Tables!F32</f>
        <v>Yes</v>
      </c>
      <c r="AP158" s="88">
        <f>IF(ISBLANK(R172),Tables!F33,R172)</f>
        <v>25</v>
      </c>
      <c r="AQ158" s="89">
        <f>VLOOKUP(AP158,$AP$148:$AQ$153,2)</f>
        <v>0</v>
      </c>
      <c r="AS158" s="89" t="str">
        <f>Tables!F34</f>
        <v>25, 50, and 100</v>
      </c>
      <c r="AT158" s="129">
        <f>IF(AND(ISBLANK(C156),ISBLANK(C158)),0,IF(AND(LEN(C156)&gt;0,ISBLANK(C158)),1,IF(AND(ISBLANK(C156),LEN(C158)&gt;0),2,3)))</f>
        <v>0</v>
      </c>
    </row>
    <row r="159" spans="2:46" ht="4.95" customHeight="1" x14ac:dyDescent="0.3">
      <c r="AL159" s="19"/>
      <c r="AM159" s="19"/>
      <c r="AN159" s="108"/>
      <c r="AO159" s="19"/>
      <c r="AP159" s="109"/>
      <c r="AQ159" s="108"/>
      <c r="AR159" s="108"/>
      <c r="AS159" s="108"/>
      <c r="AT159" s="108"/>
    </row>
    <row r="160" spans="2:46" ht="15" customHeight="1" x14ac:dyDescent="0.3">
      <c r="I160" s="156"/>
      <c r="J160" s="25" t="s">
        <v>109</v>
      </c>
      <c r="L160" s="156"/>
      <c r="M160" s="25" t="s">
        <v>110</v>
      </c>
      <c r="O160" s="25" t="s">
        <v>543</v>
      </c>
      <c r="AL160" s="83">
        <f>IF(AND(ISBLANK(I160),ISBLANK(L160)),1,2)</f>
        <v>1</v>
      </c>
      <c r="AM160" s="83">
        <f>IF(ISBLANK(L160),1,2)</f>
        <v>1</v>
      </c>
      <c r="AN160" s="108"/>
      <c r="AO160" s="19"/>
      <c r="AP160" s="109"/>
      <c r="AQ160" s="108"/>
      <c r="AR160" s="108"/>
      <c r="AS160" s="108"/>
      <c r="AT160" s="108"/>
    </row>
    <row r="161" spans="3:46" ht="4.95" customHeight="1" x14ac:dyDescent="0.3">
      <c r="AN161" s="108"/>
      <c r="AO161" s="19"/>
      <c r="AP161" s="109"/>
      <c r="AQ161" s="108"/>
      <c r="AR161" s="108"/>
      <c r="AS161" s="108"/>
      <c r="AT161" s="108"/>
    </row>
    <row r="162" spans="3:46" ht="15" customHeight="1" x14ac:dyDescent="0.3">
      <c r="I162" s="156"/>
      <c r="J162" s="25" t="s">
        <v>109</v>
      </c>
      <c r="L162" s="156"/>
      <c r="M162" s="25" t="s">
        <v>110</v>
      </c>
      <c r="O162" s="25" t="s">
        <v>542</v>
      </c>
      <c r="AL162" s="83">
        <f>IF(AND(ISBLANK(I162),ISBLANK(L162)),1,2)</f>
        <v>1</v>
      </c>
      <c r="AM162" s="83">
        <f>IF(ISBLANK(I162),1,2)</f>
        <v>1</v>
      </c>
      <c r="AN162" s="108"/>
      <c r="AO162" s="19"/>
      <c r="AP162" s="109"/>
      <c r="AQ162" s="108"/>
      <c r="AR162" s="108"/>
      <c r="AS162" s="108"/>
      <c r="AT162" s="108"/>
    </row>
    <row r="163" spans="3:46" ht="4.95" customHeight="1" x14ac:dyDescent="0.3">
      <c r="AN163" s="108"/>
      <c r="AO163" s="19"/>
      <c r="AP163" s="109"/>
      <c r="AQ163" s="108"/>
      <c r="AR163" s="108"/>
      <c r="AS163" s="108"/>
      <c r="AT163" s="108"/>
    </row>
    <row r="164" spans="3:46" ht="15" customHeight="1" x14ac:dyDescent="0.3">
      <c r="O164" s="156"/>
      <c r="P164" s="25" t="s">
        <v>109</v>
      </c>
      <c r="R164" s="156"/>
      <c r="S164" s="25" t="s">
        <v>110</v>
      </c>
      <c r="U164" s="25" t="s">
        <v>418</v>
      </c>
      <c r="AL164" s="83">
        <f>IF(AND(ISBLANK(O164),ISBLANK(R164)),1,2)</f>
        <v>1</v>
      </c>
      <c r="AM164" s="83">
        <f>IF(ISBLANK(R164),1,2)</f>
        <v>1</v>
      </c>
      <c r="AN164" s="108"/>
      <c r="AO164" s="19"/>
      <c r="AP164" s="109"/>
      <c r="AQ164" s="108"/>
      <c r="AR164" s="108"/>
      <c r="AS164" s="108"/>
      <c r="AT164" s="108"/>
    </row>
    <row r="165" spans="3:46" ht="4.95" customHeight="1" x14ac:dyDescent="0.3">
      <c r="AN165" s="108"/>
      <c r="AO165" s="19"/>
      <c r="AP165" s="109"/>
      <c r="AQ165" s="108"/>
      <c r="AR165" s="108"/>
      <c r="AS165" s="108"/>
      <c r="AT165" s="108"/>
    </row>
    <row r="166" spans="3:46" ht="15" customHeight="1" x14ac:dyDescent="0.3">
      <c r="O166" s="156"/>
      <c r="P166" s="25" t="s">
        <v>109</v>
      </c>
      <c r="R166" s="156"/>
      <c r="S166" s="25" t="s">
        <v>110</v>
      </c>
      <c r="U166" s="25" t="s">
        <v>510</v>
      </c>
      <c r="AL166" s="83">
        <f>IF(AND(ISBLANK(O166),ISBLANK(R166)),1,2)</f>
        <v>1</v>
      </c>
      <c r="AM166" s="83">
        <f>IF(ISBLANK(R166),1,2)</f>
        <v>1</v>
      </c>
      <c r="AN166" s="108"/>
      <c r="AO166" s="19"/>
      <c r="AP166" s="109"/>
      <c r="AQ166" s="108"/>
      <c r="AR166" s="108"/>
      <c r="AS166" s="108"/>
      <c r="AT166" s="108"/>
    </row>
    <row r="167" spans="3:46" ht="4.95" customHeight="1" x14ac:dyDescent="0.3">
      <c r="AL167" s="19"/>
      <c r="AM167" s="19"/>
      <c r="AN167" s="108"/>
      <c r="AO167" s="19"/>
      <c r="AP167" s="109"/>
      <c r="AQ167" s="108"/>
      <c r="AR167" s="108"/>
      <c r="AS167" s="108"/>
      <c r="AT167" s="108"/>
    </row>
    <row r="168" spans="3:46" ht="15" customHeight="1" x14ac:dyDescent="0.3">
      <c r="I168" s="156"/>
      <c r="J168" s="25" t="s">
        <v>109</v>
      </c>
      <c r="L168" s="156"/>
      <c r="M168" s="25" t="s">
        <v>110</v>
      </c>
      <c r="O168" s="25" t="str">
        <f>"The "&amp;Tables!$F$23&amp;" will allow a different post release rate design storm."</f>
        <v>The City will allow a different post release rate design storm.</v>
      </c>
      <c r="AL168" s="83">
        <f>IF(AND(ISBLANK(I168),ISBLANK(L168)),1,2)</f>
        <v>1</v>
      </c>
      <c r="AM168" s="83">
        <f>IF(ISBLANK(I168),1,2)</f>
        <v>1</v>
      </c>
      <c r="AO168" s="19"/>
      <c r="AP168" s="109"/>
      <c r="AQ168" s="108"/>
      <c r="AR168" s="108"/>
      <c r="AS168" s="108"/>
      <c r="AT168" s="108"/>
    </row>
    <row r="169" spans="3:46" ht="4.95" customHeight="1" x14ac:dyDescent="0.3">
      <c r="AO169" s="19"/>
      <c r="AP169" s="109"/>
      <c r="AQ169" s="108"/>
      <c r="AR169" s="108"/>
      <c r="AS169" s="108"/>
      <c r="AT169" s="108"/>
    </row>
    <row r="170" spans="3:46" ht="15" customHeight="1" x14ac:dyDescent="0.3">
      <c r="O170" s="156"/>
      <c r="P170" s="25" t="s">
        <v>109</v>
      </c>
      <c r="R170" s="156"/>
      <c r="S170" s="25" t="s">
        <v>110</v>
      </c>
      <c r="U170" s="25" t="str">
        <f>"Written approval from the "&amp;Tables!$F$23&amp;" is attached?"</f>
        <v>Written approval from the City is attached?</v>
      </c>
      <c r="AL170" s="83">
        <f>IF(AND(ISBLANK(O170),ISBLANK(R170)),1,2)</f>
        <v>1</v>
      </c>
      <c r="AM170" s="83">
        <f>IF(ISBLANK(R170),1,2)</f>
        <v>1</v>
      </c>
      <c r="AO170" s="19"/>
      <c r="AP170" s="109"/>
      <c r="AQ170" s="108"/>
      <c r="AR170" s="108"/>
      <c r="AS170" s="108"/>
      <c r="AT170" s="108"/>
    </row>
    <row r="171" spans="3:46" ht="4.95" customHeight="1" x14ac:dyDescent="0.3">
      <c r="AO171" s="19"/>
      <c r="AP171" s="109"/>
      <c r="AQ171" s="108"/>
      <c r="AR171" s="108"/>
      <c r="AS171" s="108"/>
      <c r="AT171" s="108"/>
    </row>
    <row r="172" spans="3:46" ht="15" customHeight="1" x14ac:dyDescent="0.3">
      <c r="R172" s="154"/>
      <c r="S172" s="152" t="s">
        <v>465</v>
      </c>
      <c r="U172" s="25" t="str">
        <f>"Post release rate design storm allowed by the "&amp;Tables!$F$23&amp;"."</f>
        <v>Post release rate design storm allowed by the City.</v>
      </c>
      <c r="AL172" s="169">
        <f>IF(ISBLANK(R172),0,VLOOKUP(R172,Storms[],2))</f>
        <v>0</v>
      </c>
      <c r="AM172" s="170"/>
      <c r="AO172" s="19"/>
      <c r="AP172" s="109"/>
      <c r="AQ172" s="108"/>
      <c r="AR172" s="108"/>
      <c r="AS172" s="108"/>
      <c r="AT172" s="108"/>
    </row>
    <row r="173" spans="3:46" ht="4.95" customHeight="1" x14ac:dyDescent="0.3">
      <c r="AL173" s="19"/>
      <c r="AM173" s="19"/>
      <c r="AN173" s="108"/>
      <c r="AO173" s="19"/>
      <c r="AP173" s="109"/>
      <c r="AQ173" s="108"/>
      <c r="AR173" s="108"/>
      <c r="AS173" s="108"/>
      <c r="AT173" s="108"/>
    </row>
    <row r="174" spans="3:46" ht="15" customHeight="1" x14ac:dyDescent="0.3">
      <c r="C174" s="156"/>
      <c r="D174" s="25" t="s">
        <v>109</v>
      </c>
      <c r="F174" s="156"/>
      <c r="G174" s="25" t="s">
        <v>110</v>
      </c>
      <c r="I174" s="25" t="str">
        <f>"Does the project have "&amp;Tables!F37&amp;" for the adjacent property?"</f>
        <v>Does the project have Release Agreement for the adjacent property?</v>
      </c>
      <c r="AL174" s="83">
        <f>IF(AND(ISBLANK(C174),ISBLANK(F174)),1,2)</f>
        <v>1</v>
      </c>
      <c r="AM174" s="83">
        <f>IF(ISBLANK(F174),1,2)</f>
        <v>1</v>
      </c>
      <c r="AN174" s="83">
        <f>IF(ISBLANK(C174),1,2)</f>
        <v>1</v>
      </c>
      <c r="AO174" s="83">
        <f>IF(ISBLANK(C156),0,2)</f>
        <v>0</v>
      </c>
      <c r="AP174" s="83">
        <f>IF(ISBLANK(C158),0,2)</f>
        <v>0</v>
      </c>
      <c r="AQ174" s="83">
        <f>IF(ISBLANK(F174),0,SUM(AO174:AP174))</f>
        <v>0</v>
      </c>
      <c r="AR174" s="19"/>
      <c r="AS174" s="19"/>
      <c r="AT174" s="19"/>
    </row>
    <row r="175" spans="3:46" ht="4.95" customHeight="1" x14ac:dyDescent="0.3">
      <c r="AL175" s="19"/>
      <c r="AM175" s="19"/>
      <c r="AN175" s="108"/>
      <c r="AO175" s="19"/>
      <c r="AP175" s="109"/>
      <c r="AQ175" s="108"/>
      <c r="AR175" s="108"/>
      <c r="AS175" s="108"/>
      <c r="AT175" s="108"/>
    </row>
    <row r="176" spans="3:46" ht="15" customHeight="1" x14ac:dyDescent="0.3">
      <c r="C176" s="156"/>
      <c r="D176" s="25" t="s">
        <v>109</v>
      </c>
      <c r="F176" s="156"/>
      <c r="G176" s="25" t="s">
        <v>110</v>
      </c>
      <c r="I176" s="25" t="s">
        <v>365</v>
      </c>
      <c r="AL176" s="83">
        <f>IF(AND(ISBLANK(C176),ISBLANK(F176)),1,2)</f>
        <v>1</v>
      </c>
      <c r="AM176" s="83">
        <f>IF(ISBLANK(F176),1,2)</f>
        <v>1</v>
      </c>
    </row>
    <row r="177" spans="2:46" ht="4.95" customHeight="1" x14ac:dyDescent="0.3">
      <c r="AL177" s="19"/>
      <c r="AM177" s="19"/>
      <c r="AN177" s="108"/>
      <c r="AO177" s="19"/>
      <c r="AP177" s="109"/>
      <c r="AQ177" s="108"/>
      <c r="AR177" s="108"/>
      <c r="AS177" s="108"/>
      <c r="AT177" s="108"/>
    </row>
    <row r="178" spans="2:46" ht="15" customHeight="1" x14ac:dyDescent="0.3">
      <c r="C178" s="156"/>
      <c r="D178" s="25" t="s">
        <v>109</v>
      </c>
      <c r="F178" s="156"/>
      <c r="G178" s="25" t="s">
        <v>110</v>
      </c>
      <c r="I178" s="25" t="s">
        <v>363</v>
      </c>
      <c r="J178" s="4"/>
      <c r="K178" s="4"/>
      <c r="L178" s="4"/>
      <c r="AL178" s="83">
        <f>IF(AND(ISBLANK(C178),ISBLANK(F178)),1,2)</f>
        <v>1</v>
      </c>
      <c r="AM178" s="83">
        <f>IF(ISBLANK(C178),1,2)</f>
        <v>1</v>
      </c>
    </row>
    <row r="179" spans="2:46" ht="4.95" customHeight="1" x14ac:dyDescent="0.3">
      <c r="C179" s="4"/>
      <c r="D179" s="4"/>
      <c r="E179" s="4"/>
      <c r="F179" s="4"/>
      <c r="G179" s="4"/>
      <c r="H179" s="4"/>
      <c r="I179" s="4"/>
      <c r="J179" s="4"/>
      <c r="K179" s="4"/>
      <c r="L179" s="4"/>
    </row>
    <row r="180" spans="2:46" ht="15" customHeight="1" x14ac:dyDescent="0.3">
      <c r="I180" s="156"/>
      <c r="J180" s="25" t="s">
        <v>109</v>
      </c>
      <c r="L180" s="156"/>
      <c r="M180" s="25" t="s">
        <v>110</v>
      </c>
      <c r="N180" s="4"/>
      <c r="O180" s="25" t="s">
        <v>364</v>
      </c>
      <c r="AL180" s="83">
        <f>IF(ISBLANK(I180),1,2)</f>
        <v>1</v>
      </c>
      <c r="AM180" s="83">
        <f>IF(ISBLANK(L180),1,2)</f>
        <v>1</v>
      </c>
      <c r="AN180" s="83">
        <f>SUM(AL180:AM180)</f>
        <v>2</v>
      </c>
      <c r="AO180" s="19"/>
      <c r="AP180" s="19"/>
    </row>
    <row r="181" spans="2:46" ht="4.95" customHeight="1" x14ac:dyDescent="0.3"/>
    <row r="182" spans="2:46" ht="15" customHeight="1" x14ac:dyDescent="0.3"/>
    <row r="183" spans="2:46" ht="15" customHeight="1" x14ac:dyDescent="0.3"/>
    <row r="184" spans="2:46" ht="15" customHeight="1" x14ac:dyDescent="0.3">
      <c r="B184" s="1" t="s">
        <v>18</v>
      </c>
      <c r="C184" s="1"/>
      <c r="D184" s="1"/>
      <c r="E184" s="1"/>
      <c r="F184" s="1"/>
      <c r="G184" s="1"/>
      <c r="H184" s="1"/>
      <c r="I184" s="1"/>
    </row>
    <row r="185" spans="2:46" ht="15" customHeight="1" x14ac:dyDescent="0.3">
      <c r="B185" s="78" t="s">
        <v>374</v>
      </c>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row>
    <row r="186" spans="2:46" ht="15" customHeight="1" x14ac:dyDescent="0.3">
      <c r="B186" s="52"/>
      <c r="C186" s="56" t="s">
        <v>98</v>
      </c>
      <c r="D186" s="78" t="str">
        <f>"Is designed in accordance with the latest version of the "&amp;Tables!F23&amp;"'s requirements;"</f>
        <v>Is designed in accordance with the latest version of the City's requirements;</v>
      </c>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row>
    <row r="187" spans="2:46" ht="15" customHeight="1" x14ac:dyDescent="0.3">
      <c r="B187" s="52"/>
      <c r="C187" s="56" t="s">
        <v>98</v>
      </c>
      <c r="D187" s="78" t="s">
        <v>239</v>
      </c>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row>
    <row r="188" spans="2:46" ht="15" customHeight="1" x14ac:dyDescent="0.3">
      <c r="B188" s="52"/>
      <c r="C188" s="56" t="s">
        <v>98</v>
      </c>
      <c r="D188" s="78" t="s">
        <v>394</v>
      </c>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row>
    <row r="189" spans="2:46" ht="15" customHeight="1" x14ac:dyDescent="0.3">
      <c r="B189" s="52"/>
      <c r="C189" s="56"/>
      <c r="D189" s="78" t="s">
        <v>395</v>
      </c>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row>
    <row r="190" spans="2:46" ht="15" customHeight="1" x14ac:dyDescent="0.3">
      <c r="B190" s="52"/>
      <c r="C190" s="56" t="s">
        <v>98</v>
      </c>
      <c r="D190" s="78" t="s">
        <v>544</v>
      </c>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row>
    <row r="191" spans="2:46" ht="15" customHeight="1" x14ac:dyDescent="0.3">
      <c r="B191" s="52"/>
      <c r="C191" s="56" t="s">
        <v>98</v>
      </c>
      <c r="D191" s="78" t="s">
        <v>240</v>
      </c>
      <c r="E191" s="78"/>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row>
    <row r="192" spans="2:46" ht="15" customHeight="1" x14ac:dyDescent="0.3"/>
    <row r="193" spans="2:38" ht="15" customHeight="1" x14ac:dyDescent="0.3">
      <c r="E193" s="2" t="s">
        <v>154</v>
      </c>
      <c r="F193" s="172"/>
      <c r="G193" s="172"/>
      <c r="H193" s="172"/>
      <c r="I193" s="172"/>
      <c r="J193" s="172"/>
      <c r="K193" s="172"/>
      <c r="L193" s="172"/>
      <c r="M193" s="172"/>
      <c r="N193" s="172"/>
      <c r="O193" s="172"/>
      <c r="P193" s="172"/>
      <c r="Q193" s="172"/>
      <c r="R193" s="172"/>
      <c r="S193" s="172"/>
      <c r="T193" s="172"/>
      <c r="U193" s="172"/>
      <c r="V193" s="172"/>
      <c r="W193" s="172"/>
      <c r="X193" s="172"/>
      <c r="Y193" s="172"/>
      <c r="Z193" s="172"/>
      <c r="AC193" s="2" t="s">
        <v>263</v>
      </c>
      <c r="AD193" s="2"/>
      <c r="AE193" s="2"/>
      <c r="AF193" s="2"/>
    </row>
    <row r="194" spans="2:38" ht="15" customHeight="1" x14ac:dyDescent="0.3">
      <c r="E194" s="2" t="s">
        <v>118</v>
      </c>
      <c r="F194" s="210"/>
      <c r="G194" s="210"/>
      <c r="H194" s="210"/>
      <c r="I194" s="210"/>
      <c r="J194" s="210"/>
      <c r="K194" s="210"/>
      <c r="L194" s="210"/>
      <c r="M194" s="210"/>
      <c r="N194" s="210"/>
      <c r="O194" s="210"/>
      <c r="P194" s="210"/>
      <c r="Q194" s="210"/>
      <c r="R194" s="210"/>
      <c r="S194" s="210"/>
      <c r="T194" s="210"/>
      <c r="U194" s="210"/>
      <c r="V194" s="210"/>
      <c r="W194" s="210"/>
      <c r="X194" s="210"/>
      <c r="Y194" s="210"/>
      <c r="Z194" s="210"/>
    </row>
    <row r="195" spans="2:38" ht="15" customHeight="1" x14ac:dyDescent="0.3">
      <c r="E195" s="2" t="s">
        <v>119</v>
      </c>
      <c r="F195" s="210"/>
      <c r="G195" s="210"/>
      <c r="H195" s="210"/>
      <c r="I195" s="210"/>
      <c r="J195" s="210"/>
      <c r="K195" s="210"/>
      <c r="L195" s="210"/>
      <c r="M195" s="210"/>
      <c r="N195" s="210"/>
      <c r="O195" s="210"/>
      <c r="P195" s="210"/>
      <c r="Q195" s="210"/>
      <c r="R195" s="210"/>
      <c r="S195" s="210"/>
      <c r="T195" s="210"/>
      <c r="U195" s="210"/>
      <c r="V195" s="210"/>
      <c r="W195" s="210"/>
      <c r="X195" s="210"/>
      <c r="Y195" s="210"/>
      <c r="Z195" s="210"/>
    </row>
    <row r="196" spans="2:38" ht="15" customHeight="1" x14ac:dyDescent="0.3">
      <c r="E196" s="2" t="s">
        <v>249</v>
      </c>
      <c r="F196" s="210"/>
      <c r="G196" s="210"/>
      <c r="H196" s="210"/>
      <c r="I196" s="210"/>
      <c r="J196" s="210"/>
      <c r="K196" s="210"/>
      <c r="L196" s="210"/>
      <c r="M196" s="59"/>
      <c r="N196" s="59"/>
      <c r="O196" s="92" t="s">
        <v>122</v>
      </c>
      <c r="P196" s="210"/>
      <c r="Q196" s="210"/>
      <c r="R196" s="210"/>
      <c r="S196" s="210"/>
      <c r="T196" s="59"/>
      <c r="U196" s="59"/>
      <c r="V196" s="59"/>
      <c r="W196" s="92" t="s">
        <v>123</v>
      </c>
      <c r="X196" s="208"/>
      <c r="Y196" s="208"/>
      <c r="Z196" s="208"/>
    </row>
    <row r="197" spans="2:38" ht="15" customHeight="1" x14ac:dyDescent="0.3">
      <c r="E197" s="2" t="s">
        <v>120</v>
      </c>
      <c r="F197" s="211"/>
      <c r="G197" s="211"/>
      <c r="H197" s="211"/>
      <c r="I197" s="211"/>
      <c r="J197" s="211"/>
      <c r="K197" s="211"/>
      <c r="L197" s="211"/>
      <c r="M197" s="211"/>
      <c r="N197" s="211"/>
      <c r="O197" s="211"/>
      <c r="P197" s="211"/>
      <c r="Q197" s="211"/>
      <c r="R197" s="211"/>
      <c r="S197" s="211"/>
      <c r="T197" s="211"/>
      <c r="U197" s="211"/>
      <c r="V197" s="211"/>
      <c r="W197" s="211"/>
      <c r="X197" s="211"/>
      <c r="Y197" s="211"/>
      <c r="Z197" s="211"/>
    </row>
    <row r="198" spans="2:38" ht="15" customHeight="1" x14ac:dyDescent="0.3">
      <c r="E198" s="2" t="s">
        <v>124</v>
      </c>
      <c r="F198" s="212"/>
      <c r="G198" s="212"/>
      <c r="H198" s="212"/>
      <c r="I198" s="212"/>
      <c r="J198" s="212"/>
      <c r="V198" s="52"/>
      <c r="W198" s="52"/>
      <c r="X198" s="52"/>
    </row>
    <row r="199" spans="2:38" ht="15" customHeight="1" x14ac:dyDescent="0.3">
      <c r="E199" s="2"/>
      <c r="F199" s="59"/>
      <c r="G199" s="59"/>
      <c r="H199" s="59"/>
      <c r="I199" s="59"/>
      <c r="J199" s="59"/>
      <c r="V199" s="52"/>
      <c r="W199" s="52"/>
      <c r="X199" s="52"/>
    </row>
    <row r="200" spans="2:38" ht="15" customHeight="1" x14ac:dyDescent="0.3">
      <c r="E200" s="2" t="s">
        <v>155</v>
      </c>
      <c r="F200" s="73"/>
      <c r="G200" s="73"/>
      <c r="H200" s="73"/>
      <c r="I200" s="73"/>
      <c r="J200" s="73"/>
      <c r="K200" s="73"/>
      <c r="L200" s="73"/>
      <c r="M200" s="73"/>
      <c r="N200" s="73"/>
      <c r="O200" s="73"/>
      <c r="P200" s="73"/>
      <c r="Q200" s="73"/>
      <c r="R200" s="73"/>
      <c r="S200" s="73"/>
      <c r="T200" s="73"/>
      <c r="U200" s="73"/>
      <c r="V200" s="52"/>
      <c r="W200" s="52"/>
      <c r="X200" s="52"/>
      <c r="AC200" s="2" t="s">
        <v>153</v>
      </c>
      <c r="AD200" s="207"/>
      <c r="AE200" s="207"/>
      <c r="AF200" s="207"/>
      <c r="AG200" s="207"/>
      <c r="AH200" s="207"/>
    </row>
    <row r="201" spans="2:38" ht="15" customHeight="1" x14ac:dyDescent="0.3"/>
    <row r="202" spans="2:38" ht="15" customHeight="1" x14ac:dyDescent="0.3"/>
    <row r="203" spans="2:38" ht="15" customHeight="1" x14ac:dyDescent="0.3"/>
    <row r="204" spans="2:38" ht="15" customHeight="1" x14ac:dyDescent="0.3">
      <c r="B204" s="181">
        <f>Tables!$F$13</f>
        <v>46266</v>
      </c>
      <c r="C204" s="181"/>
      <c r="D204" s="181"/>
      <c r="E204" s="181"/>
      <c r="F204" s="181"/>
      <c r="G204" s="181"/>
      <c r="H204" s="181"/>
      <c r="R204" s="182" t="s">
        <v>294</v>
      </c>
      <c r="S204" s="182"/>
      <c r="T204" s="182"/>
      <c r="U204" s="182"/>
    </row>
    <row r="205" spans="2:38" ht="15" customHeight="1" x14ac:dyDescent="0.3">
      <c r="C205" s="2" t="s">
        <v>1</v>
      </c>
      <c r="D205" s="179">
        <f>IF(ISBLANK($E$7),0,$E$7)</f>
        <v>0</v>
      </c>
      <c r="E205" s="179"/>
      <c r="F205" s="179"/>
      <c r="G205" s="179"/>
      <c r="H205" s="179"/>
      <c r="I205" s="179"/>
      <c r="J205" s="179"/>
      <c r="K205" s="179"/>
      <c r="L205" s="179"/>
      <c r="M205" s="179"/>
      <c r="N205" s="179"/>
      <c r="O205" s="179"/>
      <c r="P205" s="179"/>
      <c r="Q205" s="179"/>
      <c r="R205" s="179"/>
      <c r="S205" s="179"/>
      <c r="T205" s="179"/>
      <c r="U205" s="179"/>
      <c r="V205" s="179"/>
      <c r="W205" s="179"/>
      <c r="X205" s="179"/>
      <c r="Y205" s="179"/>
      <c r="Z205" s="32"/>
      <c r="AD205" s="2" t="s">
        <v>20</v>
      </c>
      <c r="AE205" s="200">
        <f>IF(ISBLANK($AE$7),0,$AE$7)</f>
        <v>0</v>
      </c>
      <c r="AF205" s="200"/>
      <c r="AG205" s="200"/>
      <c r="AH205" s="200"/>
      <c r="AI205" s="200"/>
      <c r="AJ205" s="200"/>
    </row>
    <row r="206" spans="2:38" ht="15" customHeight="1" x14ac:dyDescent="0.3">
      <c r="C206" s="33"/>
      <c r="D206" s="33"/>
      <c r="E206" s="33"/>
      <c r="F206" s="33"/>
      <c r="G206" s="33"/>
      <c r="H206" s="33"/>
      <c r="I206" s="33"/>
      <c r="J206" s="2"/>
      <c r="K206" s="2"/>
      <c r="L206" s="2"/>
      <c r="M206" s="2"/>
      <c r="N206" s="33"/>
      <c r="O206" s="32"/>
      <c r="P206" s="32"/>
      <c r="Q206" s="32"/>
      <c r="R206" s="32"/>
      <c r="S206" s="32"/>
      <c r="T206" s="32"/>
      <c r="U206" s="32"/>
      <c r="V206" s="32"/>
      <c r="W206" s="32"/>
      <c r="X206" s="32"/>
      <c r="Y206" s="32"/>
      <c r="Z206" s="32"/>
      <c r="AD206" s="2" t="s">
        <v>31</v>
      </c>
      <c r="AE206" s="199">
        <f>IF(ISBLANK($AE$8),0,$AE$8)</f>
        <v>0</v>
      </c>
      <c r="AF206" s="199"/>
      <c r="AG206" s="199"/>
      <c r="AH206" s="199"/>
      <c r="AI206" s="199"/>
      <c r="AJ206" s="199"/>
    </row>
    <row r="207" spans="2:38" ht="15" customHeight="1" x14ac:dyDescent="0.3"/>
    <row r="208" spans="2:38" ht="15" customHeight="1" x14ac:dyDescent="0.3">
      <c r="B208" s="37" t="s">
        <v>73</v>
      </c>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9"/>
      <c r="AL208" s="10" t="s">
        <v>250</v>
      </c>
    </row>
    <row r="209" spans="2:38" ht="15" customHeight="1" x14ac:dyDescent="0.3">
      <c r="B209" s="40"/>
      <c r="C209" s="7"/>
      <c r="D209" s="7"/>
      <c r="E209" s="7"/>
      <c r="F209" s="7"/>
      <c r="G209" s="7"/>
      <c r="H209" s="7"/>
      <c r="I209" s="7"/>
      <c r="J209" s="41" t="s">
        <v>74</v>
      </c>
      <c r="K209" s="41"/>
      <c r="L209" s="42" t="s">
        <v>167</v>
      </c>
      <c r="M209" s="41"/>
      <c r="N209" s="41"/>
      <c r="O209" s="41"/>
      <c r="P209" s="42"/>
      <c r="Q209" s="7"/>
      <c r="R209" s="7"/>
      <c r="S209" s="7"/>
      <c r="T209" s="7"/>
      <c r="U209" s="7"/>
      <c r="V209" s="7"/>
      <c r="W209" s="7"/>
      <c r="X209" s="7"/>
      <c r="Y209" s="7"/>
      <c r="Z209" s="7"/>
      <c r="AA209" s="7"/>
      <c r="AB209" s="7"/>
      <c r="AC209" s="7"/>
      <c r="AD209" s="7"/>
      <c r="AE209" s="7"/>
      <c r="AF209" s="7"/>
      <c r="AG209" s="7"/>
      <c r="AH209" s="7"/>
      <c r="AI209" s="7"/>
      <c r="AJ209" s="43"/>
      <c r="AL209" s="83">
        <f>SUM(AL211:AL229)</f>
        <v>14</v>
      </c>
    </row>
    <row r="210" spans="2:38" ht="15" customHeight="1" x14ac:dyDescent="0.3">
      <c r="B210" s="40"/>
      <c r="C210" s="7"/>
      <c r="D210" s="7"/>
      <c r="E210" s="7"/>
      <c r="F210" s="7"/>
      <c r="G210" s="7"/>
      <c r="H210" s="7"/>
      <c r="I210" s="7"/>
      <c r="J210" s="8" t="s">
        <v>373</v>
      </c>
      <c r="K210" s="8"/>
      <c r="L210" s="7" t="str">
        <f>IF(ISBLANK(AC6),Tables!J2,"")</f>
        <v>Parcel No. has not been provided</v>
      </c>
      <c r="M210" s="41"/>
      <c r="N210" s="41"/>
      <c r="O210" s="41"/>
      <c r="P210" s="42"/>
      <c r="Q210" s="7"/>
      <c r="R210" s="7"/>
      <c r="S210" s="7"/>
      <c r="T210" s="7"/>
      <c r="U210" s="7"/>
      <c r="V210" s="7"/>
      <c r="W210" s="7"/>
      <c r="X210" s="7"/>
      <c r="Y210" s="7"/>
      <c r="Z210" s="7"/>
      <c r="AA210" s="7"/>
      <c r="AB210" s="7"/>
      <c r="AC210" s="7"/>
      <c r="AD210" s="7"/>
      <c r="AE210" s="7"/>
      <c r="AF210" s="7"/>
      <c r="AG210" s="7"/>
      <c r="AH210" s="7"/>
      <c r="AI210" s="7"/>
      <c r="AJ210" s="43"/>
      <c r="AL210" s="83">
        <f>IF(L210="",0,1)</f>
        <v>1</v>
      </c>
    </row>
    <row r="211" spans="2:38" ht="15" customHeight="1" x14ac:dyDescent="0.3">
      <c r="B211" s="40"/>
      <c r="C211" s="7"/>
      <c r="D211" s="7"/>
      <c r="E211" s="7"/>
      <c r="F211" s="7"/>
      <c r="G211" s="7"/>
      <c r="H211" s="7"/>
      <c r="I211" s="7"/>
      <c r="J211" s="8" t="s">
        <v>75</v>
      </c>
      <c r="K211" s="8"/>
      <c r="L211" s="7" t="str">
        <f>IF(AND(AL28&lt;6,AM28=6),Tables!J3,IF(AND(AL28=6,AM28=6),"",Tables!J3))</f>
        <v>Pre Total not compeleted</v>
      </c>
      <c r="M211" s="8"/>
      <c r="N211" s="8"/>
      <c r="O211" s="8"/>
      <c r="P211" s="7"/>
      <c r="Q211" s="7"/>
      <c r="R211" s="7"/>
      <c r="S211" s="7"/>
      <c r="T211" s="7"/>
      <c r="U211" s="7"/>
      <c r="V211" s="7"/>
      <c r="W211" s="7"/>
      <c r="X211" s="7"/>
      <c r="Y211" s="7"/>
      <c r="Z211" s="7"/>
      <c r="AA211" s="7"/>
      <c r="AB211" s="7"/>
      <c r="AC211" s="7"/>
      <c r="AD211" s="7"/>
      <c r="AE211" s="7"/>
      <c r="AF211" s="7"/>
      <c r="AG211" s="7"/>
      <c r="AH211" s="7"/>
      <c r="AI211" s="7"/>
      <c r="AJ211" s="43"/>
      <c r="AL211" s="83">
        <f>IF(L211="",0,1)</f>
        <v>1</v>
      </c>
    </row>
    <row r="212" spans="2:38" ht="15" customHeight="1" x14ac:dyDescent="0.3">
      <c r="B212" s="40"/>
      <c r="C212" s="7"/>
      <c r="D212" s="7"/>
      <c r="E212" s="7"/>
      <c r="F212" s="7"/>
      <c r="G212" s="7"/>
      <c r="H212" s="7"/>
      <c r="I212" s="7"/>
      <c r="J212" s="8" t="s">
        <v>76</v>
      </c>
      <c r="K212" s="8"/>
      <c r="L212" s="7" t="str">
        <f>IF(AND(AL41&lt;6,AM41=6),Tables!J4,IF(AND(AL41=6,AM41=6),"",Tables!J4))</f>
        <v>Post Total not completed</v>
      </c>
      <c r="M212" s="8"/>
      <c r="N212" s="8"/>
      <c r="O212" s="8"/>
      <c r="P212" s="7"/>
      <c r="Q212" s="7"/>
      <c r="R212" s="7"/>
      <c r="S212" s="7"/>
      <c r="T212" s="7"/>
      <c r="U212" s="7"/>
      <c r="V212" s="7"/>
      <c r="W212" s="7"/>
      <c r="X212" s="7"/>
      <c r="Y212" s="7"/>
      <c r="Z212" s="7"/>
      <c r="AA212" s="7"/>
      <c r="AB212" s="7"/>
      <c r="AC212" s="7"/>
      <c r="AD212" s="7"/>
      <c r="AE212" s="7"/>
      <c r="AF212" s="7"/>
      <c r="AG212" s="7"/>
      <c r="AH212" s="7"/>
      <c r="AI212" s="7"/>
      <c r="AJ212" s="43"/>
      <c r="AL212" s="83">
        <f t="shared" ref="AL212:AL229" si="14">IF(L212="",0,1)</f>
        <v>1</v>
      </c>
    </row>
    <row r="213" spans="2:38" ht="15" customHeight="1" x14ac:dyDescent="0.3">
      <c r="B213" s="40"/>
      <c r="C213" s="7"/>
      <c r="D213" s="74"/>
      <c r="E213" s="7"/>
      <c r="F213" s="7"/>
      <c r="G213" s="7"/>
      <c r="H213" s="7"/>
      <c r="I213" s="7"/>
      <c r="J213" s="86" t="s">
        <v>375</v>
      </c>
      <c r="K213" s="8"/>
      <c r="L213" s="7"/>
      <c r="M213" s="8"/>
      <c r="N213" s="8"/>
      <c r="O213" s="8"/>
      <c r="P213" s="7"/>
      <c r="Q213" s="7"/>
      <c r="R213" s="7"/>
      <c r="S213" s="7"/>
      <c r="T213" s="7"/>
      <c r="U213" s="7"/>
      <c r="V213" s="7"/>
      <c r="W213" s="7"/>
      <c r="X213" s="7"/>
      <c r="Y213" s="7"/>
      <c r="Z213" s="7"/>
      <c r="AA213" s="7"/>
      <c r="AB213" s="7"/>
      <c r="AC213" s="7"/>
      <c r="AD213" s="7"/>
      <c r="AE213" s="7"/>
      <c r="AF213" s="7"/>
      <c r="AG213" s="7"/>
      <c r="AH213" s="7"/>
      <c r="AI213" s="7"/>
      <c r="AJ213" s="43"/>
      <c r="AL213" s="83">
        <f t="shared" si="14"/>
        <v>0</v>
      </c>
    </row>
    <row r="214" spans="2:38" ht="15" customHeight="1" x14ac:dyDescent="0.3">
      <c r="B214" s="40"/>
      <c r="C214" s="7"/>
      <c r="D214" s="74"/>
      <c r="E214" s="7"/>
      <c r="F214" s="7"/>
      <c r="G214" s="7"/>
      <c r="H214" s="7"/>
      <c r="I214" s="7"/>
      <c r="J214" s="8" t="s">
        <v>524</v>
      </c>
      <c r="K214" s="8"/>
      <c r="L214" s="7" t="str">
        <f>IF(AL59=1,Tables!J24,IF('Form 2F.1 - Design'!AM59=2,Tables!J24,""))</f>
        <v>Hydrologic Soil Groups C and D are not appropriate for permeable pavements</v>
      </c>
      <c r="M214" s="8"/>
      <c r="N214" s="8"/>
      <c r="O214" s="8"/>
      <c r="P214" s="7"/>
      <c r="Q214" s="7"/>
      <c r="R214" s="7"/>
      <c r="S214" s="7"/>
      <c r="T214" s="7"/>
      <c r="U214" s="7"/>
      <c r="V214" s="7"/>
      <c r="W214" s="7"/>
      <c r="X214" s="7"/>
      <c r="Y214" s="7"/>
      <c r="Z214" s="7"/>
      <c r="AA214" s="7"/>
      <c r="AB214" s="7"/>
      <c r="AC214" s="7"/>
      <c r="AD214" s="7"/>
      <c r="AE214" s="7"/>
      <c r="AF214" s="7"/>
      <c r="AG214" s="7"/>
      <c r="AH214" s="7"/>
      <c r="AI214" s="7"/>
      <c r="AJ214" s="43"/>
      <c r="AL214" s="83">
        <f t="shared" si="14"/>
        <v>1</v>
      </c>
    </row>
    <row r="215" spans="2:38" ht="15" customHeight="1" x14ac:dyDescent="0.3">
      <c r="B215" s="40"/>
      <c r="C215" s="7"/>
      <c r="D215" s="74"/>
      <c r="E215" s="7"/>
      <c r="F215" s="7"/>
      <c r="G215" s="7"/>
      <c r="H215" s="7"/>
      <c r="I215" s="7"/>
      <c r="J215" s="8" t="s">
        <v>526</v>
      </c>
      <c r="K215" s="8"/>
      <c r="L215" s="7" t="str">
        <f>IF(ISBLANK(G69),Tables!J25,IF('Form 2F.1 - Design'!AM69=2,Tables!J25,""))</f>
        <v>Soils should have a minimum infiltration rate of 0.50-in/hr</v>
      </c>
      <c r="M215" s="8"/>
      <c r="N215" s="8"/>
      <c r="O215" s="8"/>
      <c r="P215" s="7"/>
      <c r="Q215" s="7"/>
      <c r="R215" s="7"/>
      <c r="S215" s="7"/>
      <c r="T215" s="7"/>
      <c r="U215" s="7"/>
      <c r="V215" s="7"/>
      <c r="W215" s="7"/>
      <c r="X215" s="7"/>
      <c r="Y215" s="7"/>
      <c r="Z215" s="7"/>
      <c r="AA215" s="7"/>
      <c r="AB215" s="7"/>
      <c r="AC215" s="7"/>
      <c r="AD215" s="7"/>
      <c r="AE215" s="7"/>
      <c r="AF215" s="7"/>
      <c r="AG215" s="7"/>
      <c r="AH215" s="7"/>
      <c r="AI215" s="7"/>
      <c r="AJ215" s="43"/>
      <c r="AL215" s="83"/>
    </row>
    <row r="216" spans="2:38" ht="15" customHeight="1" x14ac:dyDescent="0.3">
      <c r="B216" s="40"/>
      <c r="C216" s="7"/>
      <c r="D216" s="7"/>
      <c r="E216" s="7"/>
      <c r="F216" s="7"/>
      <c r="G216" s="7"/>
      <c r="H216" s="7"/>
      <c r="I216" s="7"/>
      <c r="J216" s="8" t="s">
        <v>530</v>
      </c>
      <c r="K216" s="8"/>
      <c r="L216" s="7" t="str">
        <f>IF(ISBLANK(AF71),Tables!J26,IF(AN71=2,Tables!J26,""))</f>
        <v>Water table should be a minimum of 2-ft below permeable pavement base</v>
      </c>
      <c r="M216" s="8"/>
      <c r="N216" s="8"/>
      <c r="O216" s="8"/>
      <c r="P216" s="7"/>
      <c r="Q216" s="7"/>
      <c r="R216" s="7"/>
      <c r="S216" s="7"/>
      <c r="T216" s="7"/>
      <c r="U216" s="7"/>
      <c r="V216" s="7"/>
      <c r="W216" s="7"/>
      <c r="X216" s="7"/>
      <c r="Y216" s="7"/>
      <c r="Z216" s="7"/>
      <c r="AA216" s="7"/>
      <c r="AB216" s="7"/>
      <c r="AC216" s="7"/>
      <c r="AD216" s="7"/>
      <c r="AE216" s="7"/>
      <c r="AF216" s="7"/>
      <c r="AG216" s="7"/>
      <c r="AH216" s="7"/>
      <c r="AI216" s="7"/>
      <c r="AJ216" s="43"/>
      <c r="AL216" s="83"/>
    </row>
    <row r="217" spans="2:38" ht="15" customHeight="1" x14ac:dyDescent="0.3">
      <c r="B217" s="40"/>
      <c r="C217" s="7"/>
      <c r="D217" s="7"/>
      <c r="E217" s="7"/>
      <c r="F217" s="7"/>
      <c r="G217" s="7"/>
      <c r="H217" s="7"/>
      <c r="I217" s="7"/>
      <c r="J217" s="8" t="s">
        <v>220</v>
      </c>
      <c r="K217" s="8"/>
      <c r="L217" s="7" t="str">
        <f>IF(ISBLANK(G71),Tables!J14,IF(G71&gt;2,Tables!J14,""))</f>
        <v>Land slope exceeds the recommended 2% maximum</v>
      </c>
      <c r="M217" s="8"/>
      <c r="N217" s="8"/>
      <c r="O217" s="8"/>
      <c r="P217" s="7"/>
      <c r="Q217" s="7"/>
      <c r="R217" s="7"/>
      <c r="S217" s="7"/>
      <c r="T217" s="7"/>
      <c r="U217" s="7"/>
      <c r="V217" s="7"/>
      <c r="W217" s="7"/>
      <c r="X217" s="7"/>
      <c r="Y217" s="7"/>
      <c r="Z217" s="7"/>
      <c r="AA217" s="7"/>
      <c r="AB217" s="7"/>
      <c r="AC217" s="7"/>
      <c r="AD217" s="7"/>
      <c r="AE217" s="7"/>
      <c r="AF217" s="7"/>
      <c r="AG217" s="7"/>
      <c r="AH217" s="7"/>
      <c r="AI217" s="7"/>
      <c r="AJ217" s="43"/>
      <c r="AL217" s="83">
        <f t="shared" si="14"/>
        <v>1</v>
      </c>
    </row>
    <row r="218" spans="2:38" ht="15" customHeight="1" x14ac:dyDescent="0.3">
      <c r="B218" s="40"/>
      <c r="C218" s="7"/>
      <c r="D218" s="7"/>
      <c r="E218" s="7"/>
      <c r="F218" s="7"/>
      <c r="G218" s="7"/>
      <c r="H218" s="7"/>
      <c r="I218" s="7"/>
      <c r="J218" s="8" t="s">
        <v>221</v>
      </c>
      <c r="K218" s="8"/>
      <c r="L218" s="7" t="str">
        <f>IF(ISBLANK(W101),Tables!J15,IF(W101&gt;96,Tables!J15,""))</f>
        <v>Drain time exceeds the recommended 48 hours</v>
      </c>
      <c r="M218" s="8"/>
      <c r="N218" s="8"/>
      <c r="O218" s="8"/>
      <c r="P218" s="7"/>
      <c r="Q218" s="7"/>
      <c r="R218" s="7"/>
      <c r="S218" s="7"/>
      <c r="T218" s="7"/>
      <c r="U218" s="7"/>
      <c r="V218" s="7"/>
      <c r="W218" s="7"/>
      <c r="X218" s="7"/>
      <c r="Y218" s="7"/>
      <c r="Z218" s="7"/>
      <c r="AA218" s="7"/>
      <c r="AB218" s="7"/>
      <c r="AC218" s="7"/>
      <c r="AD218" s="7"/>
      <c r="AE218" s="7"/>
      <c r="AF218" s="7"/>
      <c r="AG218" s="7"/>
      <c r="AH218" s="7"/>
      <c r="AI218" s="7"/>
      <c r="AJ218" s="43"/>
      <c r="AL218" s="83">
        <f t="shared" si="14"/>
        <v>1</v>
      </c>
    </row>
    <row r="219" spans="2:38" ht="15" customHeight="1" x14ac:dyDescent="0.3">
      <c r="B219" s="40"/>
      <c r="C219" s="7"/>
      <c r="D219" s="7"/>
      <c r="E219" s="7"/>
      <c r="F219" s="7"/>
      <c r="G219" s="7"/>
      <c r="H219" s="7"/>
      <c r="I219" s="7"/>
      <c r="J219" s="8" t="s">
        <v>99</v>
      </c>
      <c r="K219" s="8"/>
      <c r="L219" s="7" t="str">
        <f>IF(AM120&lt;2,Tables!J9,"")</f>
        <v>Latitude and/or Longitude not provided</v>
      </c>
      <c r="M219" s="8"/>
      <c r="N219" s="8"/>
      <c r="O219" s="8"/>
      <c r="P219" s="7"/>
      <c r="Q219" s="7"/>
      <c r="R219" s="7"/>
      <c r="S219" s="7"/>
      <c r="T219" s="7"/>
      <c r="U219" s="7"/>
      <c r="V219" s="7"/>
      <c r="W219" s="7"/>
      <c r="X219" s="7"/>
      <c r="Y219" s="7"/>
      <c r="Z219" s="7"/>
      <c r="AA219" s="7"/>
      <c r="AB219" s="7"/>
      <c r="AC219" s="7"/>
      <c r="AD219" s="7"/>
      <c r="AE219" s="7"/>
      <c r="AF219" s="7"/>
      <c r="AG219" s="7"/>
      <c r="AH219" s="7"/>
      <c r="AI219" s="7"/>
      <c r="AJ219" s="43"/>
      <c r="AL219" s="83">
        <f t="shared" si="14"/>
        <v>1</v>
      </c>
    </row>
    <row r="220" spans="2:38" ht="15" customHeight="1" x14ac:dyDescent="0.3">
      <c r="B220" s="40"/>
      <c r="C220" s="7"/>
      <c r="D220" s="7"/>
      <c r="E220" s="7"/>
      <c r="F220" s="7"/>
      <c r="G220" s="7"/>
      <c r="H220" s="7"/>
      <c r="I220" s="7"/>
      <c r="J220" s="8"/>
      <c r="K220" s="8"/>
      <c r="L220" s="7" t="str">
        <f>IF(AND(AQ119=1,AQ120=1),Tables!$J$10,IF(OR(AQ119=3,AQ120=3),Tables!$J$10,""))</f>
        <v>Latitude and/or Longitude has been entered as text.  Change to a number.</v>
      </c>
      <c r="M220" s="8"/>
      <c r="N220" s="8"/>
      <c r="O220" s="8"/>
      <c r="P220" s="7"/>
      <c r="Q220" s="7"/>
      <c r="R220" s="7"/>
      <c r="S220" s="7"/>
      <c r="T220" s="7"/>
      <c r="U220" s="7"/>
      <c r="V220" s="7"/>
      <c r="W220" s="7"/>
      <c r="X220" s="7"/>
      <c r="Y220" s="7"/>
      <c r="Z220" s="7"/>
      <c r="AA220" s="7"/>
      <c r="AB220" s="7"/>
      <c r="AC220" s="7"/>
      <c r="AD220" s="7"/>
      <c r="AE220" s="7"/>
      <c r="AF220" s="7"/>
      <c r="AG220" s="7"/>
      <c r="AH220" s="7"/>
      <c r="AI220" s="7"/>
      <c r="AJ220" s="43"/>
      <c r="AL220" s="83">
        <f t="shared" si="14"/>
        <v>1</v>
      </c>
    </row>
    <row r="221" spans="2:38" ht="15" customHeight="1" x14ac:dyDescent="0.3">
      <c r="B221" s="40"/>
      <c r="C221" s="7"/>
      <c r="D221" s="7"/>
      <c r="E221" s="7"/>
      <c r="F221" s="7"/>
      <c r="G221" s="7"/>
      <c r="H221" s="7"/>
      <c r="I221" s="7"/>
      <c r="J221" s="8" t="s">
        <v>416</v>
      </c>
      <c r="K221" s="8"/>
      <c r="L221" s="7" t="str">
        <f>IF(AM122=3,"",IF(AM124&gt;0,Tables!J22,""))</f>
        <v>Outlet protection section not completed</v>
      </c>
      <c r="M221" s="8"/>
      <c r="N221" s="8"/>
      <c r="O221" s="8"/>
      <c r="P221" s="7"/>
      <c r="Q221" s="7"/>
      <c r="R221" s="7"/>
      <c r="S221" s="7"/>
      <c r="T221" s="7"/>
      <c r="U221" s="7"/>
      <c r="V221" s="7"/>
      <c r="W221" s="7"/>
      <c r="X221" s="7"/>
      <c r="Y221" s="7"/>
      <c r="Z221" s="7"/>
      <c r="AA221" s="7"/>
      <c r="AB221" s="7"/>
      <c r="AC221" s="7"/>
      <c r="AD221" s="7"/>
      <c r="AE221" s="7"/>
      <c r="AF221" s="7"/>
      <c r="AG221" s="7"/>
      <c r="AH221" s="7"/>
      <c r="AI221" s="7"/>
      <c r="AJ221" s="43"/>
      <c r="AL221" s="83">
        <f t="shared" si="14"/>
        <v>1</v>
      </c>
    </row>
    <row r="222" spans="2:38" ht="15" customHeight="1" x14ac:dyDescent="0.3">
      <c r="B222" s="40"/>
      <c r="C222" s="7"/>
      <c r="D222" s="7"/>
      <c r="E222" s="7"/>
      <c r="F222" s="7"/>
      <c r="G222" s="7"/>
      <c r="H222" s="7"/>
      <c r="I222" s="7"/>
      <c r="J222" s="8"/>
      <c r="K222" s="8"/>
      <c r="L222" s="7" t="str">
        <f>IF(AM122=3,"",IF(AQ126=1,"For Class 2 Riprap, the minimum depth is 1.50-feet",IF(AQ126=2,Tables!J23,"")))</f>
        <v>For Class 2 Riprap, the minimum depth is 1.50-feet</v>
      </c>
      <c r="M222" s="8"/>
      <c r="N222" s="8"/>
      <c r="O222" s="8"/>
      <c r="P222" s="7"/>
      <c r="Q222" s="7"/>
      <c r="R222" s="7"/>
      <c r="S222" s="7"/>
      <c r="T222" s="7"/>
      <c r="U222" s="7"/>
      <c r="V222" s="7"/>
      <c r="W222" s="7"/>
      <c r="X222" s="7"/>
      <c r="Y222" s="7"/>
      <c r="Z222" s="7"/>
      <c r="AA222" s="7"/>
      <c r="AB222" s="7"/>
      <c r="AC222" s="7"/>
      <c r="AD222" s="7"/>
      <c r="AE222" s="7"/>
      <c r="AF222" s="7"/>
      <c r="AG222" s="7"/>
      <c r="AH222" s="7"/>
      <c r="AI222" s="7"/>
      <c r="AJ222" s="43"/>
      <c r="AL222" s="83">
        <f t="shared" si="14"/>
        <v>1</v>
      </c>
    </row>
    <row r="223" spans="2:38" ht="15" customHeight="1" x14ac:dyDescent="0.3">
      <c r="B223" s="40"/>
      <c r="C223" s="7"/>
      <c r="D223" s="7"/>
      <c r="E223" s="7"/>
      <c r="F223" s="7"/>
      <c r="G223" s="7"/>
      <c r="H223" s="7"/>
      <c r="I223" s="7"/>
      <c r="J223" s="8" t="s">
        <v>131</v>
      </c>
      <c r="K223" s="8"/>
      <c r="L223" s="7" t="str">
        <f>IF(AM119=2,Tables!J11,IF(AM118=1,"",Tables!J11))</f>
        <v>WQv Required &gt; WQv Provided</v>
      </c>
      <c r="M223" s="8"/>
      <c r="N223" s="8"/>
      <c r="O223" s="8"/>
      <c r="P223" s="7"/>
      <c r="Q223" s="7"/>
      <c r="R223" s="7"/>
      <c r="S223" s="7"/>
      <c r="T223" s="7"/>
      <c r="U223" s="7"/>
      <c r="V223" s="7"/>
      <c r="W223" s="7"/>
      <c r="X223" s="7"/>
      <c r="Y223" s="7"/>
      <c r="Z223" s="7"/>
      <c r="AA223" s="7"/>
      <c r="AB223" s="7"/>
      <c r="AC223" s="7"/>
      <c r="AD223" s="7"/>
      <c r="AE223" s="7"/>
      <c r="AF223" s="7"/>
      <c r="AG223" s="7"/>
      <c r="AH223" s="7"/>
      <c r="AI223" s="7"/>
      <c r="AJ223" s="43"/>
      <c r="AL223" s="83">
        <f t="shared" si="14"/>
        <v>1</v>
      </c>
    </row>
    <row r="224" spans="2:38" ht="15" customHeight="1" x14ac:dyDescent="0.3">
      <c r="B224" s="40"/>
      <c r="C224" s="7"/>
      <c r="D224" s="74"/>
      <c r="E224" s="7"/>
      <c r="F224" s="7"/>
      <c r="G224" s="7"/>
      <c r="H224" s="7"/>
      <c r="I224" s="7"/>
      <c r="J224" s="86" t="s">
        <v>218</v>
      </c>
      <c r="K224" s="8"/>
      <c r="L224" s="7"/>
      <c r="M224" s="8"/>
      <c r="N224" s="8"/>
      <c r="O224" s="8"/>
      <c r="P224" s="7"/>
      <c r="Q224" s="7"/>
      <c r="R224" s="7"/>
      <c r="S224" s="7"/>
      <c r="T224" s="7"/>
      <c r="U224" s="7"/>
      <c r="V224" s="7"/>
      <c r="W224" s="7"/>
      <c r="X224" s="7"/>
      <c r="Y224" s="7"/>
      <c r="Z224" s="7"/>
      <c r="AA224" s="7"/>
      <c r="AB224" s="7"/>
      <c r="AC224" s="7"/>
      <c r="AD224" s="7"/>
      <c r="AE224" s="7"/>
      <c r="AF224" s="7"/>
      <c r="AG224" s="7"/>
      <c r="AH224" s="7"/>
      <c r="AI224" s="7"/>
      <c r="AJ224" s="43"/>
      <c r="AL224" s="83">
        <f t="shared" si="14"/>
        <v>0</v>
      </c>
    </row>
    <row r="225" spans="2:38" ht="15" customHeight="1" x14ac:dyDescent="0.3">
      <c r="B225" s="40"/>
      <c r="C225" s="7"/>
      <c r="D225" s="7"/>
      <c r="E225" s="7"/>
      <c r="F225" s="7"/>
      <c r="G225" s="7"/>
      <c r="H225" s="7"/>
      <c r="I225" s="7"/>
      <c r="J225" s="8" t="s">
        <v>226</v>
      </c>
      <c r="K225" s="8"/>
      <c r="L225" s="7" t="str">
        <f>IF(AM128&gt;0,Tables!J7,"")</f>
        <v>Velocity &gt; 6 ft/s</v>
      </c>
      <c r="M225" s="8"/>
      <c r="N225" s="8"/>
      <c r="O225" s="8"/>
      <c r="P225" s="7"/>
      <c r="Q225" s="7"/>
      <c r="R225" s="7"/>
      <c r="S225" s="7"/>
      <c r="T225" s="7"/>
      <c r="U225" s="7"/>
      <c r="V225" s="7"/>
      <c r="W225" s="7"/>
      <c r="X225" s="7"/>
      <c r="Y225" s="7"/>
      <c r="Z225" s="7"/>
      <c r="AA225" s="7"/>
      <c r="AB225" s="7"/>
      <c r="AC225" s="7"/>
      <c r="AD225" s="7"/>
      <c r="AE225" s="7"/>
      <c r="AF225" s="7"/>
      <c r="AG225" s="7"/>
      <c r="AH225" s="7"/>
      <c r="AI225" s="7"/>
      <c r="AJ225" s="43"/>
      <c r="AL225" s="83">
        <f t="shared" si="14"/>
        <v>1</v>
      </c>
    </row>
    <row r="226" spans="2:38" ht="15" customHeight="1" x14ac:dyDescent="0.3">
      <c r="B226" s="40"/>
      <c r="C226" s="7"/>
      <c r="D226" s="7"/>
      <c r="E226" s="7"/>
      <c r="F226" s="7"/>
      <c r="G226" s="7"/>
      <c r="H226" s="7"/>
      <c r="I226" s="7"/>
      <c r="J226" s="8" t="s">
        <v>77</v>
      </c>
      <c r="K226" s="8"/>
      <c r="L226" s="7" t="str">
        <f>IF(OR(AN128&gt;0,AO128&gt;0),Tables!J6,"")</f>
        <v>Total Post Q &gt; Pre Q</v>
      </c>
      <c r="M226" s="8"/>
      <c r="N226" s="8"/>
      <c r="O226" s="8"/>
      <c r="P226" s="7"/>
      <c r="Q226" s="7"/>
      <c r="R226" s="7"/>
      <c r="S226" s="7"/>
      <c r="T226" s="7"/>
      <c r="U226" s="7"/>
      <c r="V226" s="7"/>
      <c r="W226" s="7"/>
      <c r="X226" s="7"/>
      <c r="Y226" s="7"/>
      <c r="Z226" s="7"/>
      <c r="AA226" s="7"/>
      <c r="AB226" s="7"/>
      <c r="AC226" s="7"/>
      <c r="AD226" s="7"/>
      <c r="AE226" s="7"/>
      <c r="AF226" s="7"/>
      <c r="AG226" s="7"/>
      <c r="AH226" s="7"/>
      <c r="AI226" s="7"/>
      <c r="AJ226" s="43"/>
      <c r="AL226" s="83">
        <f t="shared" si="14"/>
        <v>1</v>
      </c>
    </row>
    <row r="227" spans="2:38" ht="15" customHeight="1" x14ac:dyDescent="0.3">
      <c r="B227" s="40"/>
      <c r="C227" s="7"/>
      <c r="D227" s="7"/>
      <c r="E227" s="7"/>
      <c r="F227" s="7"/>
      <c r="G227" s="7"/>
      <c r="H227" s="7"/>
      <c r="I227" s="7"/>
      <c r="J227" s="8"/>
      <c r="K227" s="8"/>
      <c r="L227" s="7" t="str">
        <f>IF($AQ$128&gt;0,Tables!$J$17,"")</f>
        <v>Total Post Q is &lt; -0.50 ft3/s of Pre Q</v>
      </c>
      <c r="M227" s="8"/>
      <c r="N227" s="8"/>
      <c r="O227" s="8"/>
      <c r="P227" s="7"/>
      <c r="Q227" s="7"/>
      <c r="R227" s="7"/>
      <c r="S227" s="7"/>
      <c r="T227" s="7"/>
      <c r="U227" s="7"/>
      <c r="V227" s="7"/>
      <c r="W227" s="7"/>
      <c r="X227" s="7"/>
      <c r="Y227" s="7"/>
      <c r="Z227" s="7"/>
      <c r="AA227" s="7"/>
      <c r="AB227" s="7"/>
      <c r="AC227" s="7"/>
      <c r="AD227" s="7"/>
      <c r="AE227" s="7"/>
      <c r="AF227" s="7"/>
      <c r="AG227" s="7"/>
      <c r="AH227" s="7"/>
      <c r="AI227" s="7"/>
      <c r="AJ227" s="43"/>
      <c r="AL227" s="83">
        <f t="shared" si="14"/>
        <v>1</v>
      </c>
    </row>
    <row r="228" spans="2:38" ht="15" customHeight="1" x14ac:dyDescent="0.3">
      <c r="B228" s="40"/>
      <c r="C228" s="7"/>
      <c r="D228" s="7"/>
      <c r="E228" s="7"/>
      <c r="F228" s="7"/>
      <c r="G228" s="7"/>
      <c r="H228" s="7"/>
      <c r="I228" s="7"/>
      <c r="J228" s="8"/>
      <c r="K228" s="8"/>
      <c r="L228" s="7" t="str">
        <f>IF(AO156="Yes",IF(AND(ISBLANK(C156),ISBLANK(F156)),Tables!$J19,IF($AO$128&gt;0,Tables!$J19,"")),"")</f>
        <v/>
      </c>
      <c r="M228" s="8"/>
      <c r="N228" s="8"/>
      <c r="O228" s="8"/>
      <c r="P228" s="7"/>
      <c r="Q228" s="7"/>
      <c r="R228" s="7"/>
      <c r="S228" s="7"/>
      <c r="T228" s="7"/>
      <c r="U228" s="7"/>
      <c r="V228" s="7"/>
      <c r="W228" s="7"/>
      <c r="X228" s="7"/>
      <c r="Y228" s="7"/>
      <c r="Z228" s="7"/>
      <c r="AA228" s="7"/>
      <c r="AB228" s="7"/>
      <c r="AC228" s="7"/>
      <c r="AD228" s="7"/>
      <c r="AE228" s="7"/>
      <c r="AF228" s="7"/>
      <c r="AG228" s="7"/>
      <c r="AH228" s="7"/>
      <c r="AI228" s="7"/>
      <c r="AJ228" s="43"/>
      <c r="AL228" s="83">
        <f t="shared" si="14"/>
        <v>0</v>
      </c>
    </row>
    <row r="229" spans="2:38" ht="15" customHeight="1" x14ac:dyDescent="0.3">
      <c r="B229" s="44"/>
      <c r="C229" s="45"/>
      <c r="D229" s="45"/>
      <c r="E229" s="45"/>
      <c r="F229" s="45"/>
      <c r="G229" s="45"/>
      <c r="H229" s="45"/>
      <c r="I229" s="45"/>
      <c r="J229" s="46"/>
      <c r="K229" s="46"/>
      <c r="L229" s="45" t="str">
        <f>IF(AO158="Yes",IF(AND(ISBLANK(C158),ISBLANK(F158)),Tables!$J20,IF($AP$128&gt;0,Tables!$J20,"")),"")</f>
        <v>Drains to adjacent property:  25, 50, and 100-yr discharge &gt; 25-yr discharge</v>
      </c>
      <c r="M229" s="46"/>
      <c r="N229" s="46"/>
      <c r="O229" s="46"/>
      <c r="P229" s="45"/>
      <c r="Q229" s="45"/>
      <c r="R229" s="45"/>
      <c r="S229" s="45"/>
      <c r="T229" s="45"/>
      <c r="U229" s="45"/>
      <c r="V229" s="45"/>
      <c r="W229" s="45"/>
      <c r="X229" s="45"/>
      <c r="Y229" s="45"/>
      <c r="Z229" s="45"/>
      <c r="AA229" s="45"/>
      <c r="AB229" s="45"/>
      <c r="AC229" s="45"/>
      <c r="AD229" s="45"/>
      <c r="AE229" s="45"/>
      <c r="AF229" s="45"/>
      <c r="AG229" s="45"/>
      <c r="AH229" s="45"/>
      <c r="AI229" s="45"/>
      <c r="AJ229" s="47"/>
      <c r="AL229" s="83">
        <f t="shared" si="14"/>
        <v>1</v>
      </c>
    </row>
    <row r="230" spans="2:38" ht="15" customHeight="1" x14ac:dyDescent="0.3">
      <c r="AK230" s="27"/>
    </row>
    <row r="231" spans="2:38" ht="15" customHeight="1" x14ac:dyDescent="0.3">
      <c r="AK231" s="27"/>
    </row>
    <row r="232" spans="2:38" ht="15" customHeight="1" x14ac:dyDescent="0.3">
      <c r="AK232" s="27"/>
    </row>
    <row r="233" spans="2:38" ht="15" customHeight="1" x14ac:dyDescent="0.3">
      <c r="AK233" s="27"/>
    </row>
    <row r="234" spans="2:38" ht="15" customHeight="1" x14ac:dyDescent="0.3">
      <c r="AK234" s="27"/>
    </row>
    <row r="235" spans="2:38" ht="15" customHeight="1" x14ac:dyDescent="0.3">
      <c r="AK235" s="27"/>
    </row>
    <row r="236" spans="2:38" ht="15" customHeight="1" x14ac:dyDescent="0.3">
      <c r="AK236" s="27"/>
    </row>
    <row r="237" spans="2:38" ht="15" customHeight="1" x14ac:dyDescent="0.3">
      <c r="AK237" s="27"/>
    </row>
    <row r="238" spans="2:38" ht="15" customHeight="1" x14ac:dyDescent="0.3">
      <c r="AK238" s="27"/>
    </row>
    <row r="239" spans="2:38" ht="15" customHeight="1" x14ac:dyDescent="0.3">
      <c r="AK239" s="27"/>
    </row>
    <row r="240" spans="2:38" ht="15" customHeight="1" x14ac:dyDescent="0.3">
      <c r="AK240" s="27"/>
    </row>
    <row r="241" spans="2:37" ht="15" customHeight="1" x14ac:dyDescent="0.3">
      <c r="AK241" s="27"/>
    </row>
    <row r="242" spans="2:37" ht="15" customHeight="1" x14ac:dyDescent="0.3">
      <c r="AK242" s="27"/>
    </row>
    <row r="243" spans="2:37" ht="15" customHeight="1" x14ac:dyDescent="0.3">
      <c r="AK243" s="27"/>
    </row>
    <row r="244" spans="2:37" ht="15" customHeight="1" x14ac:dyDescent="0.3">
      <c r="AK244" s="27"/>
    </row>
    <row r="245" spans="2:37" ht="15" customHeight="1" x14ac:dyDescent="0.3">
      <c r="AK245" s="27"/>
    </row>
    <row r="246" spans="2:37" ht="15" customHeight="1" x14ac:dyDescent="0.3">
      <c r="AK246" s="27"/>
    </row>
    <row r="247" spans="2:37" ht="15" customHeight="1" x14ac:dyDescent="0.3">
      <c r="AK247" s="27"/>
    </row>
    <row r="248" spans="2:37" ht="15" customHeight="1" x14ac:dyDescent="0.3">
      <c r="B248" s="181">
        <f>Tables!$F$13</f>
        <v>46266</v>
      </c>
      <c r="C248" s="181"/>
      <c r="D248" s="181"/>
      <c r="E248" s="181"/>
      <c r="F248" s="181"/>
      <c r="G248" s="181"/>
      <c r="H248" s="181"/>
      <c r="R248" s="182" t="s">
        <v>295</v>
      </c>
      <c r="S248" s="182"/>
      <c r="T248" s="182"/>
      <c r="U248" s="182"/>
      <c r="AK248" s="27"/>
    </row>
    <row r="249" spans="2:37" ht="15" customHeight="1" x14ac:dyDescent="0.3"/>
    <row r="250" spans="2:37" ht="15" customHeight="1" x14ac:dyDescent="0.3"/>
    <row r="251" spans="2:37" ht="15" customHeight="1" x14ac:dyDescent="0.3"/>
  </sheetData>
  <sheetProtection algorithmName="SHA-512" hashValue="T8AaBrt93DbIGDstKHbgJk6IRv4htLX2narSGXIHS5HoIky9Zkbau2ofBRVsPE6qAdrWrreoATtl3GmeNcTW+Q==" saltValue="T6WO7OuXBld5rA+k/SSJag==" spinCount="100000" sheet="1" objects="1" scenarios="1" selectLockedCells="1"/>
  <mergeCells count="359">
    <mergeCell ref="G71:H71"/>
    <mergeCell ref="AF71:AH71"/>
    <mergeCell ref="M126:O126"/>
    <mergeCell ref="U133:W133"/>
    <mergeCell ref="U134:W134"/>
    <mergeCell ref="X113:Z113"/>
    <mergeCell ref="X114:Z114"/>
    <mergeCell ref="AE152:AJ152"/>
    <mergeCell ref="AE153:AJ153"/>
    <mergeCell ref="M101:O101"/>
    <mergeCell ref="M103:O103"/>
    <mergeCell ref="Y131:AA131"/>
    <mergeCell ref="M114:P114"/>
    <mergeCell ref="S118:U118"/>
    <mergeCell ref="Y129:AA129"/>
    <mergeCell ref="AC118:AF118"/>
    <mergeCell ref="Q129:S129"/>
    <mergeCell ref="AG128:AJ128"/>
    <mergeCell ref="AG129:AI129"/>
    <mergeCell ref="AG130:AI130"/>
    <mergeCell ref="AG131:AI131"/>
    <mergeCell ref="V124:W124"/>
    <mergeCell ref="V126:W126"/>
    <mergeCell ref="W85:Y85"/>
    <mergeCell ref="W86:Y86"/>
    <mergeCell ref="W89:Y89"/>
    <mergeCell ref="W91:Y91"/>
    <mergeCell ref="W93:Y93"/>
    <mergeCell ref="W97:Y97"/>
    <mergeCell ref="M99:O99"/>
    <mergeCell ref="W101:Y101"/>
    <mergeCell ref="W103:Y103"/>
    <mergeCell ref="M93:O93"/>
    <mergeCell ref="M97:P97"/>
    <mergeCell ref="M98:O98"/>
    <mergeCell ref="M95:O95"/>
    <mergeCell ref="W95:Y95"/>
    <mergeCell ref="M91:P91"/>
    <mergeCell ref="W99:Y99"/>
    <mergeCell ref="W98:Y98"/>
    <mergeCell ref="AV6:BI7"/>
    <mergeCell ref="AF29:AH29"/>
    <mergeCell ref="AB26:AD26"/>
    <mergeCell ref="T39:V39"/>
    <mergeCell ref="AF33:AH33"/>
    <mergeCell ref="AF34:AH34"/>
    <mergeCell ref="AF31:AH31"/>
    <mergeCell ref="AF32:AH32"/>
    <mergeCell ref="X32:Z32"/>
    <mergeCell ref="X33:Z33"/>
    <mergeCell ref="X34:Z34"/>
    <mergeCell ref="AB30:AD30"/>
    <mergeCell ref="AB32:AD32"/>
    <mergeCell ref="AB31:AD31"/>
    <mergeCell ref="X31:Z31"/>
    <mergeCell ref="AF30:AH30"/>
    <mergeCell ref="AB25:AD25"/>
    <mergeCell ref="AF25:AH25"/>
    <mergeCell ref="E7:X7"/>
    <mergeCell ref="E8:X8"/>
    <mergeCell ref="P31:R31"/>
    <mergeCell ref="N19:O19"/>
    <mergeCell ref="N20:O20"/>
    <mergeCell ref="N21:O21"/>
    <mergeCell ref="L39:N39"/>
    <mergeCell ref="T45:V45"/>
    <mergeCell ref="X44:Z44"/>
    <mergeCell ref="P45:R45"/>
    <mergeCell ref="L45:N45"/>
    <mergeCell ref="L43:N43"/>
    <mergeCell ref="Z80:AC80"/>
    <mergeCell ref="AB29:AD29"/>
    <mergeCell ref="T33:V33"/>
    <mergeCell ref="P30:R30"/>
    <mergeCell ref="L30:N30"/>
    <mergeCell ref="L29:N29"/>
    <mergeCell ref="T34:V34"/>
    <mergeCell ref="L31:N31"/>
    <mergeCell ref="T40:V40"/>
    <mergeCell ref="P40:R40"/>
    <mergeCell ref="X43:Z43"/>
    <mergeCell ref="X46:Z46"/>
    <mergeCell ref="X47:Z47"/>
    <mergeCell ref="AB44:AD44"/>
    <mergeCell ref="R82:AH82"/>
    <mergeCell ref="P25:R25"/>
    <mergeCell ref="L28:N28"/>
    <mergeCell ref="P27:R27"/>
    <mergeCell ref="L47:N47"/>
    <mergeCell ref="P47:R47"/>
    <mergeCell ref="T75:W75"/>
    <mergeCell ref="L42:N42"/>
    <mergeCell ref="Z78:AC78"/>
    <mergeCell ref="Z79:AC79"/>
    <mergeCell ref="J78:L78"/>
    <mergeCell ref="T76:W76"/>
    <mergeCell ref="J76:L76"/>
    <mergeCell ref="P28:R28"/>
    <mergeCell ref="L32:N32"/>
    <mergeCell ref="P43:R43"/>
    <mergeCell ref="AB45:AD45"/>
    <mergeCell ref="X45:Z45"/>
    <mergeCell ref="AB41:AD41"/>
    <mergeCell ref="AB33:AD33"/>
    <mergeCell ref="AB34:AD34"/>
    <mergeCell ref="T32:V32"/>
    <mergeCell ref="L38:N38"/>
    <mergeCell ref="L40:N40"/>
    <mergeCell ref="D29:E34"/>
    <mergeCell ref="D42:E47"/>
    <mergeCell ref="P29:R29"/>
    <mergeCell ref="F29:G29"/>
    <mergeCell ref="X26:Z26"/>
    <mergeCell ref="I26:J26"/>
    <mergeCell ref="P26:R26"/>
    <mergeCell ref="P41:R41"/>
    <mergeCell ref="T43:V43"/>
    <mergeCell ref="T44:V44"/>
    <mergeCell ref="T46:V46"/>
    <mergeCell ref="T47:V47"/>
    <mergeCell ref="L41:N41"/>
    <mergeCell ref="P39:R39"/>
    <mergeCell ref="X30:Z30"/>
    <mergeCell ref="P32:R32"/>
    <mergeCell ref="T30:V30"/>
    <mergeCell ref="X29:Z29"/>
    <mergeCell ref="T29:V29"/>
    <mergeCell ref="L44:N44"/>
    <mergeCell ref="P44:R44"/>
    <mergeCell ref="P33:R33"/>
    <mergeCell ref="P34:R34"/>
    <mergeCell ref="T31:V31"/>
    <mergeCell ref="AE205:AJ205"/>
    <mergeCell ref="AE206:AJ206"/>
    <mergeCell ref="F195:Z195"/>
    <mergeCell ref="F196:L196"/>
    <mergeCell ref="P196:S196"/>
    <mergeCell ref="X196:Z196"/>
    <mergeCell ref="F197:Z197"/>
    <mergeCell ref="AD200:AH200"/>
    <mergeCell ref="F198:J198"/>
    <mergeCell ref="M113:P113"/>
    <mergeCell ref="S113:U113"/>
    <mergeCell ref="H113:J113"/>
    <mergeCell ref="Y132:AA132"/>
    <mergeCell ref="F126:H126"/>
    <mergeCell ref="B248:H248"/>
    <mergeCell ref="R248:U248"/>
    <mergeCell ref="B204:H204"/>
    <mergeCell ref="R204:U204"/>
    <mergeCell ref="D205:Y205"/>
    <mergeCell ref="M115:P115"/>
    <mergeCell ref="M133:O133"/>
    <mergeCell ref="M134:O134"/>
    <mergeCell ref="G129:H129"/>
    <mergeCell ref="G130:H130"/>
    <mergeCell ref="M131:O131"/>
    <mergeCell ref="G132:H132"/>
    <mergeCell ref="F193:Z193"/>
    <mergeCell ref="F194:Z194"/>
    <mergeCell ref="D152:Y152"/>
    <mergeCell ref="U130:W130"/>
    <mergeCell ref="U131:W131"/>
    <mergeCell ref="Y130:AA130"/>
    <mergeCell ref="Y134:AA134"/>
    <mergeCell ref="AC113:AF113"/>
    <mergeCell ref="AC114:AF114"/>
    <mergeCell ref="X115:Z115"/>
    <mergeCell ref="AC116:AF116"/>
    <mergeCell ref="S115:U115"/>
    <mergeCell ref="S117:U117"/>
    <mergeCell ref="X116:Z116"/>
    <mergeCell ref="X117:Z117"/>
    <mergeCell ref="AC115:AF115"/>
    <mergeCell ref="S114:U114"/>
    <mergeCell ref="AC117:AF117"/>
    <mergeCell ref="F124:N124"/>
    <mergeCell ref="Y133:AA133"/>
    <mergeCell ref="J79:L79"/>
    <mergeCell ref="AE7:AJ7"/>
    <mergeCell ref="AE8:AJ8"/>
    <mergeCell ref="B54:H54"/>
    <mergeCell ref="R54:U54"/>
    <mergeCell ref="S112:U112"/>
    <mergeCell ref="H111:J111"/>
    <mergeCell ref="S111:U111"/>
    <mergeCell ref="M111:P111"/>
    <mergeCell ref="H112:J112"/>
    <mergeCell ref="AE107:AJ107"/>
    <mergeCell ref="AE108:AJ108"/>
    <mergeCell ref="D107:Y107"/>
    <mergeCell ref="AC111:AF111"/>
    <mergeCell ref="AC112:AF112"/>
    <mergeCell ref="AD63:AJ63"/>
    <mergeCell ref="G67:T67"/>
    <mergeCell ref="X112:Z112"/>
    <mergeCell ref="O75:Q75"/>
    <mergeCell ref="P71:R71"/>
    <mergeCell ref="G69:I69"/>
    <mergeCell ref="O79:Q79"/>
    <mergeCell ref="AF103:AH103"/>
    <mergeCell ref="AF93:AH93"/>
    <mergeCell ref="AE17:AH17"/>
    <mergeCell ref="AI17:AJ17"/>
    <mergeCell ref="T1:AK4"/>
    <mergeCell ref="AF26:AH26"/>
    <mergeCell ref="AA15:AD15"/>
    <mergeCell ref="W17:Z17"/>
    <mergeCell ref="W20:Z20"/>
    <mergeCell ref="W21:Z21"/>
    <mergeCell ref="AB28:AD28"/>
    <mergeCell ref="T28:V28"/>
    <mergeCell ref="X25:Z25"/>
    <mergeCell ref="AB27:AD27"/>
    <mergeCell ref="X27:Z27"/>
    <mergeCell ref="X28:Z28"/>
    <mergeCell ref="T41:V41"/>
    <mergeCell ref="T42:V42"/>
    <mergeCell ref="AB47:AD47"/>
    <mergeCell ref="AB43:AD43"/>
    <mergeCell ref="X40:Z40"/>
    <mergeCell ref="X41:Z41"/>
    <mergeCell ref="X42:Z42"/>
    <mergeCell ref="AB42:AD42"/>
    <mergeCell ref="J16:M16"/>
    <mergeCell ref="J17:M17"/>
    <mergeCell ref="J18:M18"/>
    <mergeCell ref="J19:M19"/>
    <mergeCell ref="J21:M21"/>
    <mergeCell ref="N16:O16"/>
    <mergeCell ref="N17:O17"/>
    <mergeCell ref="J20:M20"/>
    <mergeCell ref="T27:V27"/>
    <mergeCell ref="L27:N27"/>
    <mergeCell ref="L26:N26"/>
    <mergeCell ref="N18:O18"/>
    <mergeCell ref="T26:V26"/>
    <mergeCell ref="L25:N25"/>
    <mergeCell ref="T25:V25"/>
    <mergeCell ref="F44:G44"/>
    <mergeCell ref="F45:G45"/>
    <mergeCell ref="F42:G42"/>
    <mergeCell ref="F43:G43"/>
    <mergeCell ref="L46:N46"/>
    <mergeCell ref="P42:R42"/>
    <mergeCell ref="F46:G46"/>
    <mergeCell ref="AF75:AH75"/>
    <mergeCell ref="X38:Z38"/>
    <mergeCell ref="T38:V38"/>
    <mergeCell ref="P38:R38"/>
    <mergeCell ref="P46:R46"/>
    <mergeCell ref="AF43:AH43"/>
    <mergeCell ref="AF47:AH47"/>
    <mergeCell ref="AF44:AH44"/>
    <mergeCell ref="AF45:AH45"/>
    <mergeCell ref="AF46:AH46"/>
    <mergeCell ref="AF42:AH42"/>
    <mergeCell ref="AF39:AH39"/>
    <mergeCell ref="Z75:AC75"/>
    <mergeCell ref="AE56:AJ56"/>
    <mergeCell ref="AE55:AJ55"/>
    <mergeCell ref="I39:J39"/>
    <mergeCell ref="X39:Z39"/>
    <mergeCell ref="F30:G30"/>
    <mergeCell ref="F31:G31"/>
    <mergeCell ref="F32:G32"/>
    <mergeCell ref="F33:G33"/>
    <mergeCell ref="F34:G34"/>
    <mergeCell ref="X128:AB128"/>
    <mergeCell ref="O76:Q76"/>
    <mergeCell ref="M84:P84"/>
    <mergeCell ref="J80:L80"/>
    <mergeCell ref="O80:Q80"/>
    <mergeCell ref="J77:L77"/>
    <mergeCell ref="O77:Q77"/>
    <mergeCell ref="M85:O85"/>
    <mergeCell ref="M89:O89"/>
    <mergeCell ref="M88:P88"/>
    <mergeCell ref="M86:O86"/>
    <mergeCell ref="Q128:S128"/>
    <mergeCell ref="U128:W128"/>
    <mergeCell ref="T79:W79"/>
    <mergeCell ref="T80:W80"/>
    <mergeCell ref="Z76:AC76"/>
    <mergeCell ref="Z77:AC77"/>
    <mergeCell ref="O78:Q78"/>
    <mergeCell ref="L33:N33"/>
    <mergeCell ref="AP146:AQ146"/>
    <mergeCell ref="B137:AJ147"/>
    <mergeCell ref="O120:R120"/>
    <mergeCell ref="W120:Z120"/>
    <mergeCell ref="C111:E111"/>
    <mergeCell ref="X111:Z111"/>
    <mergeCell ref="C117:E117"/>
    <mergeCell ref="C110:E110"/>
    <mergeCell ref="C112:E112"/>
    <mergeCell ref="C113:E113"/>
    <mergeCell ref="C114:E114"/>
    <mergeCell ref="C115:E115"/>
    <mergeCell ref="AG134:AI134"/>
    <mergeCell ref="AC128:AE128"/>
    <mergeCell ref="AC129:AE129"/>
    <mergeCell ref="AC130:AE130"/>
    <mergeCell ref="AC131:AE131"/>
    <mergeCell ref="AC132:AE132"/>
    <mergeCell ref="AC133:AE133"/>
    <mergeCell ref="Q130:S130"/>
    <mergeCell ref="Q132:S132"/>
    <mergeCell ref="AC134:AE134"/>
    <mergeCell ref="U129:W129"/>
    <mergeCell ref="AG133:AI133"/>
    <mergeCell ref="B151:H151"/>
    <mergeCell ref="R151:U151"/>
    <mergeCell ref="B106:H106"/>
    <mergeCell ref="R106:U106"/>
    <mergeCell ref="C116:E116"/>
    <mergeCell ref="H114:J114"/>
    <mergeCell ref="S116:U116"/>
    <mergeCell ref="M112:P112"/>
    <mergeCell ref="U132:W132"/>
    <mergeCell ref="Q133:S133"/>
    <mergeCell ref="Q134:S134"/>
    <mergeCell ref="M130:O130"/>
    <mergeCell ref="G133:H133"/>
    <mergeCell ref="G134:H134"/>
    <mergeCell ref="M132:O132"/>
    <mergeCell ref="M117:P117"/>
    <mergeCell ref="H117:J117"/>
    <mergeCell ref="M128:O128"/>
    <mergeCell ref="M129:O129"/>
    <mergeCell ref="H115:J115"/>
    <mergeCell ref="H116:J116"/>
    <mergeCell ref="M116:P116"/>
    <mergeCell ref="H118:J118"/>
    <mergeCell ref="G131:H131"/>
    <mergeCell ref="AG132:AI132"/>
    <mergeCell ref="Q131:S131"/>
    <mergeCell ref="BL1:CC4"/>
    <mergeCell ref="AL172:AM172"/>
    <mergeCell ref="AF80:AH80"/>
    <mergeCell ref="R73:AH73"/>
    <mergeCell ref="AA14:AD14"/>
    <mergeCell ref="AE14:AF14"/>
    <mergeCell ref="AE15:AF15"/>
    <mergeCell ref="AA17:AB17"/>
    <mergeCell ref="AC6:AJ6"/>
    <mergeCell ref="T77:W77"/>
    <mergeCell ref="T78:W78"/>
    <mergeCell ref="AB39:AD39"/>
    <mergeCell ref="AB40:AD40"/>
    <mergeCell ref="AF76:AH76"/>
    <mergeCell ref="AF77:AH77"/>
    <mergeCell ref="AF78:AH78"/>
    <mergeCell ref="AB38:AD38"/>
    <mergeCell ref="D55:Y55"/>
    <mergeCell ref="AF79:AH79"/>
    <mergeCell ref="F47:G47"/>
    <mergeCell ref="AB46:AD46"/>
    <mergeCell ref="L34:N34"/>
  </mergeCells>
  <phoneticPr fontId="23" type="noConversion"/>
  <conditionalFormatting sqref="B137:AJ147">
    <cfRule type="expression" dxfId="287" priority="1367">
      <formula>$AL$209&gt;1</formula>
    </cfRule>
    <cfRule type="cellIs" priority="1366" stopIfTrue="1" operator="greaterThan">
      <formula>0</formula>
    </cfRule>
  </conditionalFormatting>
  <conditionalFormatting sqref="C51 F51">
    <cfRule type="expression" priority="23">
      <formula>$AL51=2</formula>
    </cfRule>
    <cfRule type="expression" dxfId="286" priority="24">
      <formula>$AL51=1</formula>
    </cfRule>
  </conditionalFormatting>
  <conditionalFormatting sqref="C156 C158">
    <cfRule type="expression" dxfId="285" priority="213">
      <formula>$AM156=2</formula>
    </cfRule>
  </conditionalFormatting>
  <conditionalFormatting sqref="C178 F178">
    <cfRule type="expression" dxfId="284" priority="209">
      <formula>$AL178=1</formula>
    </cfRule>
  </conditionalFormatting>
  <conditionalFormatting sqref="C178">
    <cfRule type="expression" dxfId="283" priority="211">
      <formula>$AM178=2</formula>
    </cfRule>
  </conditionalFormatting>
  <conditionalFormatting sqref="C111:E111">
    <cfRule type="expression" dxfId="282" priority="246">
      <formula>ISBLANK($C$111)</formula>
    </cfRule>
  </conditionalFormatting>
  <conditionalFormatting sqref="D55 AE55:AE56 D107 AE107:AE108 H118 K118">
    <cfRule type="cellIs" dxfId="281" priority="534" operator="equal">
      <formula>0</formula>
    </cfRule>
  </conditionalFormatting>
  <conditionalFormatting sqref="D61 K61 R61 AA61 AA63">
    <cfRule type="expression" dxfId="280" priority="82">
      <formula>$AL$61=1</formula>
    </cfRule>
  </conditionalFormatting>
  <conditionalFormatting sqref="D63">
    <cfRule type="expression" dxfId="279" priority="52">
      <formula>$AL$61=1</formula>
    </cfRule>
  </conditionalFormatting>
  <conditionalFormatting sqref="D65 K65 R65 AA65 D67">
    <cfRule type="expression" dxfId="278" priority="79">
      <formula>$AL$65=1</formula>
    </cfRule>
  </conditionalFormatting>
  <conditionalFormatting sqref="D152 AE152:AE153">
    <cfRule type="cellIs" dxfId="277" priority="249" operator="equal">
      <formula>0</formula>
    </cfRule>
  </conditionalFormatting>
  <conditionalFormatting sqref="D205 AE205:AE206">
    <cfRule type="cellIs" dxfId="276" priority="50" operator="equal">
      <formula>0</formula>
    </cfRule>
  </conditionalFormatting>
  <conditionalFormatting sqref="E7:E8 AE7:AE8 AF29:AF34 AF42:AF47 AC118 Q129:Q134">
    <cfRule type="expression" dxfId="275" priority="553">
      <formula>ISBLANK(E7)</formula>
    </cfRule>
  </conditionalFormatting>
  <conditionalFormatting sqref="F10 M10 T10">
    <cfRule type="expression" dxfId="274" priority="528">
      <formula>ISBLANK(F10)</formula>
    </cfRule>
  </conditionalFormatting>
  <conditionalFormatting sqref="F12 M12">
    <cfRule type="expression" dxfId="273" priority="409">
      <formula>ISBLANK(F12)</formula>
    </cfRule>
  </conditionalFormatting>
  <conditionalFormatting sqref="F174 C174">
    <cfRule type="expression" dxfId="272" priority="49">
      <formula>$AL174=1</formula>
    </cfRule>
  </conditionalFormatting>
  <conditionalFormatting sqref="F174">
    <cfRule type="expression" dxfId="271" priority="48">
      <formula>$AQ$174&gt;0</formula>
    </cfRule>
  </conditionalFormatting>
  <conditionalFormatting sqref="F176 C156 F156 C158 F158 C176">
    <cfRule type="expression" dxfId="270" priority="212">
      <formula>$AL156=1</formula>
    </cfRule>
  </conditionalFormatting>
  <conditionalFormatting sqref="F176">
    <cfRule type="expression" dxfId="269" priority="146">
      <formula>$AM$176=2</formula>
    </cfRule>
  </conditionalFormatting>
  <conditionalFormatting sqref="F193:F194">
    <cfRule type="expression" dxfId="268" priority="236">
      <formula>ISBLANK(F193)</formula>
    </cfRule>
  </conditionalFormatting>
  <conditionalFormatting sqref="F196:F198">
    <cfRule type="expression" dxfId="267" priority="231">
      <formula>ISBLANK(F196)</formula>
    </cfRule>
  </conditionalFormatting>
  <conditionalFormatting sqref="F124:N124 F126 M126 V126">
    <cfRule type="expression" dxfId="266" priority="19">
      <formula>ISBLANK(F124)</formula>
    </cfRule>
  </conditionalFormatting>
  <conditionalFormatting sqref="F124:N124 AF124 AI124 F126:H126 M126:O126 V126 AF126 AI126">
    <cfRule type="expression" priority="16" stopIfTrue="1">
      <formula>$AM$122=3</formula>
    </cfRule>
  </conditionalFormatting>
  <conditionalFormatting sqref="F195:Z195">
    <cfRule type="expression" dxfId="265" priority="234">
      <formula>ISBLANK(F195)</formula>
    </cfRule>
  </conditionalFormatting>
  <conditionalFormatting sqref="G14 J14">
    <cfRule type="expression" dxfId="264" priority="118">
      <formula>$AL$14=1</formula>
    </cfRule>
  </conditionalFormatting>
  <conditionalFormatting sqref="G67">
    <cfRule type="expression" dxfId="263" priority="78">
      <formula>$AL$67=2</formula>
    </cfRule>
    <cfRule type="cellIs" priority="77" stopIfTrue="1" operator="greaterThan">
      <formula>0</formula>
    </cfRule>
  </conditionalFormatting>
  <conditionalFormatting sqref="G71 P71:R71 AF71">
    <cfRule type="expression" dxfId="262" priority="251">
      <formula>ISBLANK(G71)</formula>
    </cfRule>
  </conditionalFormatting>
  <conditionalFormatting sqref="G71">
    <cfRule type="cellIs" dxfId="261" priority="297" operator="greaterThan">
      <formula>2</formula>
    </cfRule>
  </conditionalFormatting>
  <conditionalFormatting sqref="G69:I69">
    <cfRule type="expression" dxfId="260" priority="12">
      <formula>ISBLANK(G69)</formula>
    </cfRule>
    <cfRule type="cellIs" dxfId="259" priority="403" operator="lessThan">
      <formula>0.5</formula>
    </cfRule>
  </conditionalFormatting>
  <conditionalFormatting sqref="H111 M111">
    <cfRule type="expression" dxfId="258" priority="482">
      <formula>$AL$111=2</formula>
    </cfRule>
  </conditionalFormatting>
  <conditionalFormatting sqref="H111:H117 M111:M117">
    <cfRule type="cellIs" priority="420" stopIfTrue="1" operator="greaterThan">
      <formula>0</formula>
    </cfRule>
  </conditionalFormatting>
  <conditionalFormatting sqref="H111:J111">
    <cfRule type="expression" priority="245" stopIfTrue="1">
      <formula>$AN$111=2</formula>
    </cfRule>
  </conditionalFormatting>
  <conditionalFormatting sqref="I26">
    <cfRule type="expression" dxfId="257" priority="64">
      <formula>$AM$16=3</formula>
    </cfRule>
  </conditionalFormatting>
  <conditionalFormatting sqref="I39">
    <cfRule type="expression" dxfId="256" priority="60">
      <formula>$AM$16=3</formula>
    </cfRule>
  </conditionalFormatting>
  <conditionalFormatting sqref="I59 L59 O59 R59">
    <cfRule type="expression" dxfId="255" priority="1264">
      <formula>$AL$59=1</formula>
    </cfRule>
  </conditionalFormatting>
  <conditionalFormatting sqref="I162 L162">
    <cfRule type="expression" dxfId="254" priority="35">
      <formula>$AL162=1</formula>
    </cfRule>
  </conditionalFormatting>
  <conditionalFormatting sqref="I162">
    <cfRule type="expression" dxfId="253" priority="34">
      <formula>$AM162=2</formula>
    </cfRule>
  </conditionalFormatting>
  <conditionalFormatting sqref="I168 L168">
    <cfRule type="expression" dxfId="252" priority="31">
      <formula>$AL168=1</formula>
    </cfRule>
  </conditionalFormatting>
  <conditionalFormatting sqref="I180 L180">
    <cfRule type="expression" dxfId="251" priority="210">
      <formula>$AM178=2</formula>
    </cfRule>
  </conditionalFormatting>
  <conditionalFormatting sqref="I26:J26">
    <cfRule type="expression" dxfId="250" priority="63">
      <formula>$AL$14=1</formula>
    </cfRule>
  </conditionalFormatting>
  <conditionalFormatting sqref="I39:J39">
    <cfRule type="expression" dxfId="249" priority="59">
      <formula>$AL$14=1</formula>
    </cfRule>
  </conditionalFormatting>
  <conditionalFormatting sqref="J16:J20">
    <cfRule type="expression" dxfId="248" priority="123">
      <formula>ISBLANK(J16)</formula>
    </cfRule>
  </conditionalFormatting>
  <conditionalFormatting sqref="J73 M73">
    <cfRule type="cellIs" priority="301" stopIfTrue="1" operator="greaterThan">
      <formula>0</formula>
    </cfRule>
    <cfRule type="expression" dxfId="247" priority="302">
      <formula>$AL$73=1</formula>
    </cfRule>
  </conditionalFormatting>
  <conditionalFormatting sqref="J82 M82">
    <cfRule type="expression" dxfId="246" priority="68">
      <formula>$AL$82=1</formula>
    </cfRule>
    <cfRule type="cellIs" priority="67" stopIfTrue="1" operator="greaterThan">
      <formula>0</formula>
    </cfRule>
  </conditionalFormatting>
  <conditionalFormatting sqref="J76:L80 O76:Q80 T76:T80 Z76:Z80 AF76:AH80">
    <cfRule type="cellIs" priority="295" stopIfTrue="1" operator="greaterThan">
      <formula>0</formula>
    </cfRule>
    <cfRule type="expression" dxfId="245" priority="296">
      <formula>ISBLANK(J76)</formula>
    </cfRule>
  </conditionalFormatting>
  <conditionalFormatting sqref="J16:M21 P26:R26 T26:V26 X26:Z26 AB26:AD26 AF26:AH26 P39:R39 T39:V39 X39:Z39 AB39:AD39 AF39:AH39">
    <cfRule type="expression" dxfId="244" priority="109">
      <formula>$AM$16=2</formula>
    </cfRule>
    <cfRule type="expression" dxfId="243" priority="110">
      <formula>$AM$16=1</formula>
    </cfRule>
  </conditionalFormatting>
  <conditionalFormatting sqref="J21:M21">
    <cfRule type="cellIs" dxfId="242" priority="111" operator="equal">
      <formula>0</formula>
    </cfRule>
  </conditionalFormatting>
  <conditionalFormatting sqref="K112 H112 M112">
    <cfRule type="expression" dxfId="241" priority="480">
      <formula>$AL$112=2</formula>
    </cfRule>
  </conditionalFormatting>
  <conditionalFormatting sqref="K112:K117">
    <cfRule type="cellIs" priority="463" stopIfTrue="1" operator="greaterThan">
      <formula>0</formula>
    </cfRule>
  </conditionalFormatting>
  <conditionalFormatting sqref="K113 H113 M113">
    <cfRule type="expression" dxfId="240" priority="478">
      <formula>$AL$113=2</formula>
    </cfRule>
  </conditionalFormatting>
  <conditionalFormatting sqref="K114 H114 M114">
    <cfRule type="expression" dxfId="239" priority="476">
      <formula>$AL$114=2</formula>
    </cfRule>
  </conditionalFormatting>
  <conditionalFormatting sqref="K115 H115 M115">
    <cfRule type="expression" dxfId="238" priority="474">
      <formula>$AL$115=2</formula>
    </cfRule>
  </conditionalFormatting>
  <conditionalFormatting sqref="K116 H116 M116">
    <cfRule type="expression" dxfId="237" priority="472">
      <formula>$AL$116=2</formula>
    </cfRule>
  </conditionalFormatting>
  <conditionalFormatting sqref="K117 H117 M117">
    <cfRule type="expression" dxfId="236" priority="470">
      <formula>$AL$117=2</formula>
    </cfRule>
  </conditionalFormatting>
  <conditionalFormatting sqref="L26:L34">
    <cfRule type="cellIs" dxfId="235" priority="438" stopIfTrue="1" operator="greaterThan">
      <formula>0</formula>
    </cfRule>
    <cfRule type="expression" dxfId="234" priority="527">
      <formula>$L$24=2</formula>
    </cfRule>
  </conditionalFormatting>
  <conditionalFormatting sqref="L39:L47">
    <cfRule type="expression" dxfId="233" priority="517">
      <formula>$L$37=2</formula>
    </cfRule>
    <cfRule type="cellIs" dxfId="232" priority="516" operator="greaterThan">
      <formula>0</formula>
    </cfRule>
  </conditionalFormatting>
  <conditionalFormatting sqref="L160 I160">
    <cfRule type="expression" dxfId="231" priority="41">
      <formula>$AL160=1</formula>
    </cfRule>
  </conditionalFormatting>
  <conditionalFormatting sqref="L160">
    <cfRule type="expression" dxfId="230" priority="40">
      <formula>$AM160=2</formula>
    </cfRule>
  </conditionalFormatting>
  <conditionalFormatting sqref="L180 I180">
    <cfRule type="expression" priority="208" stopIfTrue="1">
      <formula>$AN$180=3</formula>
    </cfRule>
  </conditionalFormatting>
  <conditionalFormatting sqref="L180">
    <cfRule type="expression" dxfId="229" priority="207" stopIfTrue="1">
      <formula>$AM$180=2</formula>
    </cfRule>
  </conditionalFormatting>
  <conditionalFormatting sqref="L25:N25">
    <cfRule type="expression" dxfId="228" priority="248">
      <formula>ISBLANK($L$25)</formula>
    </cfRule>
  </conditionalFormatting>
  <conditionalFormatting sqref="L26:N26">
    <cfRule type="expression" dxfId="227" priority="61">
      <formula>$AM$16=2</formula>
    </cfRule>
    <cfRule type="expression" dxfId="226" priority="62">
      <formula>$AM$16=1</formula>
    </cfRule>
  </conditionalFormatting>
  <conditionalFormatting sqref="L38:N38">
    <cfRule type="expression" dxfId="225" priority="247">
      <formula>ISBLANK($L$38)</formula>
    </cfRule>
  </conditionalFormatting>
  <conditionalFormatting sqref="L39:N39">
    <cfRule type="expression" dxfId="224" priority="57">
      <formula>$AM$16=2</formula>
    </cfRule>
    <cfRule type="expression" dxfId="223" priority="58">
      <formula>$AM$16=1</formula>
    </cfRule>
  </conditionalFormatting>
  <conditionalFormatting sqref="M93:O93">
    <cfRule type="expression" dxfId="222" priority="280">
      <formula>ISBLANK(M93)</formula>
    </cfRule>
    <cfRule type="expression" priority="279" stopIfTrue="1">
      <formula>$AM$93=2</formula>
    </cfRule>
    <cfRule type="cellIs" priority="278" stopIfTrue="1" operator="greaterThan">
      <formula>0</formula>
    </cfRule>
  </conditionalFormatting>
  <conditionalFormatting sqref="M95:O95 W95:Y95">
    <cfRule type="cellIs" priority="261" stopIfTrue="1" operator="notEqual">
      <formula>0</formula>
    </cfRule>
    <cfRule type="expression" dxfId="221" priority="262">
      <formula>ISBLANK(M95)</formula>
    </cfRule>
  </conditionalFormatting>
  <conditionalFormatting sqref="M98:O98">
    <cfRule type="expression" priority="3" stopIfTrue="1">
      <formula>$AM$98=2</formula>
    </cfRule>
  </conditionalFormatting>
  <conditionalFormatting sqref="M98:O99 W97:Y99 M97:P97">
    <cfRule type="expression" dxfId="220" priority="4">
      <formula>ISBLANK(M97)</formula>
    </cfRule>
  </conditionalFormatting>
  <conditionalFormatting sqref="M99:O99 W99:Y99">
    <cfRule type="expression" priority="2" stopIfTrue="1">
      <formula>$AL$98=2</formula>
    </cfRule>
  </conditionalFormatting>
  <conditionalFormatting sqref="M101:O101 W101:Y101 M103:O103 W103:Y103 AF103:AH103">
    <cfRule type="expression" dxfId="219" priority="264">
      <formula>ISBLANK(M101)</formula>
    </cfRule>
  </conditionalFormatting>
  <conditionalFormatting sqref="M129:O134">
    <cfRule type="cellIs" dxfId="218" priority="243" operator="equal">
      <formula>0</formula>
    </cfRule>
  </conditionalFormatting>
  <conditionalFormatting sqref="M84:P84 M85:O86 W85:Y86">
    <cfRule type="cellIs" priority="289" stopIfTrue="1" operator="greaterThan">
      <formula>0</formula>
    </cfRule>
    <cfRule type="expression" priority="291" stopIfTrue="1">
      <formula>$AM$84=2</formula>
    </cfRule>
    <cfRule type="expression" dxfId="217" priority="1265">
      <formula>ISBLANK(M84)</formula>
    </cfRule>
  </conditionalFormatting>
  <conditionalFormatting sqref="M88:P88 M89:O89 W89:Y89">
    <cfRule type="cellIs" priority="283" stopIfTrue="1" operator="greaterThan">
      <formula>0</formula>
    </cfRule>
    <cfRule type="expression" priority="284" stopIfTrue="1">
      <formula>$AM$88=2</formula>
    </cfRule>
    <cfRule type="expression" dxfId="216" priority="285">
      <formula>ISBLANK(M88)</formula>
    </cfRule>
  </conditionalFormatting>
  <conditionalFormatting sqref="M91:P91 W91:Y91 M93:O93 W93:Y93 AF93:AH93 M95:O95 W95:Y95 AE95 AH95">
    <cfRule type="expression" priority="255" stopIfTrue="1">
      <formula>$AM$91=2</formula>
    </cfRule>
  </conditionalFormatting>
  <conditionalFormatting sqref="M91:P91 W91:Y91">
    <cfRule type="expression" dxfId="215" priority="274">
      <formula>ISBLANK(M91)</formula>
    </cfRule>
    <cfRule type="cellIs" priority="273" stopIfTrue="1" operator="greaterThan">
      <formula>0</formula>
    </cfRule>
  </conditionalFormatting>
  <conditionalFormatting sqref="M97:P97 W97:Y99 M98:O99">
    <cfRule type="expression" priority="1" stopIfTrue="1">
      <formula>$AM$97=2</formula>
    </cfRule>
  </conditionalFormatting>
  <conditionalFormatting sqref="M111:P111">
    <cfRule type="expression" priority="244" stopIfTrue="1">
      <formula>$AO$111=2</formula>
    </cfRule>
  </conditionalFormatting>
  <conditionalFormatting sqref="N16:N21">
    <cfRule type="expression" dxfId="214" priority="117">
      <formula>$AM$16=3</formula>
    </cfRule>
  </conditionalFormatting>
  <conditionalFormatting sqref="N16:O21">
    <cfRule type="expression" dxfId="213" priority="116">
      <formula>$AL$14=1</formula>
    </cfRule>
  </conditionalFormatting>
  <conditionalFormatting sqref="O59 R59 I59 L59">
    <cfRule type="expression" priority="1263" stopIfTrue="1">
      <formula>$AL$59=2</formula>
    </cfRule>
  </conditionalFormatting>
  <conditionalFormatting sqref="O59">
    <cfRule type="expression" dxfId="212" priority="14">
      <formula>$AN$59=3</formula>
    </cfRule>
  </conditionalFormatting>
  <conditionalFormatting sqref="O164 R164">
    <cfRule type="expression" dxfId="211" priority="39">
      <formula>$AM162=2</formula>
    </cfRule>
  </conditionalFormatting>
  <conditionalFormatting sqref="O166 R166">
    <cfRule type="expression" dxfId="210" priority="37">
      <formula>$AM162=2</formula>
    </cfRule>
  </conditionalFormatting>
  <conditionalFormatting sqref="O170 R170">
    <cfRule type="expression" dxfId="209" priority="30">
      <formula>$AM168=2</formula>
    </cfRule>
  </conditionalFormatting>
  <conditionalFormatting sqref="O120:R120">
    <cfRule type="expression" dxfId="208" priority="1368">
      <formula>$AQ$119=3</formula>
    </cfRule>
  </conditionalFormatting>
  <conditionalFormatting sqref="P39:P47">
    <cfRule type="expression" dxfId="207" priority="1176">
      <formula>$P$37=2</formula>
    </cfRule>
    <cfRule type="cellIs" dxfId="206" priority="1175" operator="greaterThan">
      <formula>0</formula>
    </cfRule>
  </conditionalFormatting>
  <conditionalFormatting sqref="P196">
    <cfRule type="expression" dxfId="205" priority="232">
      <formula>ISBLANK(P196)</formula>
    </cfRule>
  </conditionalFormatting>
  <conditionalFormatting sqref="P25:R34">
    <cfRule type="expression" dxfId="204" priority="424">
      <formula>$P$24=2</formula>
    </cfRule>
    <cfRule type="cellIs" priority="423" stopIfTrue="1" operator="greaterThan">
      <formula>0</formula>
    </cfRule>
  </conditionalFormatting>
  <conditionalFormatting sqref="R59">
    <cfRule type="expression" dxfId="203" priority="13">
      <formula>$AO$59=3</formula>
    </cfRule>
  </conditionalFormatting>
  <conditionalFormatting sqref="R63">
    <cfRule type="expression" dxfId="202" priority="51">
      <formula>$AL$61=1</formula>
    </cfRule>
  </conditionalFormatting>
  <conditionalFormatting sqref="R73">
    <cfRule type="cellIs" priority="299" stopIfTrue="1" operator="greaterThan">
      <formula>0</formula>
    </cfRule>
    <cfRule type="expression" dxfId="201" priority="300">
      <formula>$AM$73=2</formula>
    </cfRule>
  </conditionalFormatting>
  <conditionalFormatting sqref="R82">
    <cfRule type="expression" dxfId="200" priority="66">
      <formula>$AM$82=2</formula>
    </cfRule>
    <cfRule type="cellIs" priority="65" stopIfTrue="1" operator="greaterThan">
      <formula>0</formula>
    </cfRule>
  </conditionalFormatting>
  <conditionalFormatting sqref="R164 O164">
    <cfRule type="expression" priority="38" stopIfTrue="1">
      <formula>$AL164=2</formula>
    </cfRule>
  </conditionalFormatting>
  <conditionalFormatting sqref="R164">
    <cfRule type="expression" dxfId="199" priority="33" stopIfTrue="1">
      <formula>$AM164=2</formula>
    </cfRule>
  </conditionalFormatting>
  <conditionalFormatting sqref="R166 O166">
    <cfRule type="expression" priority="36" stopIfTrue="1">
      <formula>$AL166=2</formula>
    </cfRule>
  </conditionalFormatting>
  <conditionalFormatting sqref="R166">
    <cfRule type="expression" dxfId="198" priority="32" stopIfTrue="1">
      <formula>$AM166=2</formula>
    </cfRule>
  </conditionalFormatting>
  <conditionalFormatting sqref="R170 O170">
    <cfRule type="expression" priority="29" stopIfTrue="1">
      <formula>$AL170=2</formula>
    </cfRule>
  </conditionalFormatting>
  <conditionalFormatting sqref="R170">
    <cfRule type="expression" dxfId="197" priority="28" stopIfTrue="1">
      <formula>$AM170=2</formula>
    </cfRule>
  </conditionalFormatting>
  <conditionalFormatting sqref="R172">
    <cfRule type="expression" dxfId="196" priority="27">
      <formula>$AM168=2</formula>
    </cfRule>
    <cfRule type="cellIs" priority="26" stopIfTrue="1" operator="greaterThan">
      <formula>0</formula>
    </cfRule>
  </conditionalFormatting>
  <conditionalFormatting sqref="S27:S34">
    <cfRule type="cellIs" dxfId="195" priority="434" operator="greaterThan">
      <formula>0</formula>
    </cfRule>
    <cfRule type="expression" dxfId="194" priority="524">
      <formula>$R$24=2</formula>
    </cfRule>
  </conditionalFormatting>
  <conditionalFormatting sqref="S118">
    <cfRule type="expression" dxfId="193" priority="1248">
      <formula>ISBLANK(S118)</formula>
    </cfRule>
    <cfRule type="cellIs" dxfId="192" priority="1249" operator="lessThan">
      <formula>$H118</formula>
    </cfRule>
  </conditionalFormatting>
  <conditionalFormatting sqref="S118:U118">
    <cfRule type="expression" priority="25" stopIfTrue="1">
      <formula>$H$118="0"</formula>
    </cfRule>
  </conditionalFormatting>
  <conditionalFormatting sqref="T26:T34">
    <cfRule type="expression" dxfId="191" priority="1242">
      <formula>$T$24=2</formula>
    </cfRule>
    <cfRule type="cellIs" dxfId="190" priority="1241" operator="greaterThan">
      <formula>0</formula>
    </cfRule>
  </conditionalFormatting>
  <conditionalFormatting sqref="T39:T47">
    <cfRule type="expression" dxfId="189" priority="1220">
      <formula>$T$37=2</formula>
    </cfRule>
    <cfRule type="cellIs" dxfId="188" priority="1219" operator="greaterThan">
      <formula>0</formula>
    </cfRule>
  </conditionalFormatting>
  <conditionalFormatting sqref="U129:U134 Y129:Y134 AC129:AC134">
    <cfRule type="expression" dxfId="187" priority="150" stopIfTrue="1">
      <formula>ISBLANK(U129)</formula>
    </cfRule>
  </conditionalFormatting>
  <conditionalFormatting sqref="V124">
    <cfRule type="expression" dxfId="186" priority="22">
      <formula>$AQ124="Yes"</formula>
    </cfRule>
    <cfRule type="cellIs" priority="21" stopIfTrue="1" operator="greaterThan">
      <formula>0</formula>
    </cfRule>
  </conditionalFormatting>
  <conditionalFormatting sqref="V126">
    <cfRule type="cellIs" dxfId="185" priority="42" operator="lessThan">
      <formula>$AS$124</formula>
    </cfRule>
  </conditionalFormatting>
  <conditionalFormatting sqref="V124:W124">
    <cfRule type="expression" dxfId="184" priority="20">
      <formula>$AQ124="Yes"</formula>
    </cfRule>
  </conditionalFormatting>
  <conditionalFormatting sqref="W93:Y93 AF93">
    <cfRule type="cellIs" priority="275" stopIfTrue="1" operator="greaterThan">
      <formula>0</formula>
    </cfRule>
    <cfRule type="expression" priority="276" stopIfTrue="1">
      <formula>$AL$93=2</formula>
    </cfRule>
    <cfRule type="expression" dxfId="183" priority="277">
      <formula>ISBLANK(W93)</formula>
    </cfRule>
  </conditionalFormatting>
  <conditionalFormatting sqref="W101:Y101">
    <cfRule type="cellIs" dxfId="182" priority="253" stopIfTrue="1" operator="greaterThan">
      <formula>48</formula>
    </cfRule>
  </conditionalFormatting>
  <conditionalFormatting sqref="W103:Y103 W101:Y101 M101:O101 M103:O103 AF103:AH103">
    <cfRule type="cellIs" priority="263" stopIfTrue="1" operator="greaterThan">
      <formula>0</formula>
    </cfRule>
  </conditionalFormatting>
  <conditionalFormatting sqref="W103:Y103">
    <cfRule type="cellIs" dxfId="181" priority="254" stopIfTrue="1" operator="greaterThan">
      <formula>12</formula>
    </cfRule>
  </conditionalFormatting>
  <conditionalFormatting sqref="W17:Z17">
    <cfRule type="expression" dxfId="180" priority="107">
      <formula>$AM$16=2</formula>
    </cfRule>
    <cfRule type="expression" priority="121" stopIfTrue="1">
      <formula>$AL$17=1</formula>
    </cfRule>
    <cfRule type="cellIs" dxfId="179" priority="122" operator="equal">
      <formula>0</formula>
    </cfRule>
    <cfRule type="expression" dxfId="178" priority="108">
      <formula>$AM$16=1</formula>
    </cfRule>
  </conditionalFormatting>
  <conditionalFormatting sqref="W20:Z21">
    <cfRule type="cellIs" dxfId="177" priority="120" operator="equal">
      <formula>0</formula>
    </cfRule>
    <cfRule type="expression" priority="119" stopIfTrue="1">
      <formula>$AL$17=1</formula>
    </cfRule>
  </conditionalFormatting>
  <conditionalFormatting sqref="W120:Z120 O120:R120">
    <cfRule type="cellIs" dxfId="176" priority="56" operator="equal">
      <formula>0</formula>
    </cfRule>
  </conditionalFormatting>
  <conditionalFormatting sqref="W120:Z120">
    <cfRule type="expression" dxfId="175" priority="55">
      <formula>$AQ$120=3</formula>
    </cfRule>
  </conditionalFormatting>
  <conditionalFormatting sqref="X26:X34">
    <cfRule type="expression" dxfId="174" priority="1244">
      <formula>$X$24=2</formula>
    </cfRule>
    <cfRule type="cellIs" dxfId="173" priority="1243" operator="greaterThan">
      <formula>0</formula>
    </cfRule>
  </conditionalFormatting>
  <conditionalFormatting sqref="X39:X47">
    <cfRule type="expression" dxfId="172" priority="1230">
      <formula>$X$37=2</formula>
    </cfRule>
    <cfRule type="cellIs" dxfId="171" priority="1229" operator="greaterThan">
      <formula>0</formula>
    </cfRule>
  </conditionalFormatting>
  <conditionalFormatting sqref="X69 AA69">
    <cfRule type="expression" dxfId="170" priority="402">
      <formula>$AL$69=1</formula>
    </cfRule>
    <cfRule type="expression" priority="401" stopIfTrue="1">
      <formula>$AL$69=2</formula>
    </cfRule>
  </conditionalFormatting>
  <conditionalFormatting sqref="X111 AC111">
    <cfRule type="expression" dxfId="169" priority="462">
      <formula>$AM$111=2</formula>
    </cfRule>
  </conditionalFormatting>
  <conditionalFormatting sqref="X111:X112 AC111:AC112">
    <cfRule type="cellIs" priority="459" stopIfTrue="1" operator="greaterThan">
      <formula>0</formula>
    </cfRule>
  </conditionalFormatting>
  <conditionalFormatting sqref="X112 AC112">
    <cfRule type="expression" dxfId="168" priority="460">
      <formula>$AM$112=2</formula>
    </cfRule>
  </conditionalFormatting>
  <conditionalFormatting sqref="X113 AC113">
    <cfRule type="cellIs" priority="457" stopIfTrue="1" operator="greaterThan">
      <formula>1</formula>
    </cfRule>
    <cfRule type="expression" dxfId="167" priority="458">
      <formula>$AM$113=2</formula>
    </cfRule>
  </conditionalFormatting>
  <conditionalFormatting sqref="X114 AC114">
    <cfRule type="expression" dxfId="166" priority="456">
      <formula>$AM$114=2</formula>
    </cfRule>
  </conditionalFormatting>
  <conditionalFormatting sqref="X114:X117 AC114:AC117">
    <cfRule type="cellIs" priority="445" stopIfTrue="1" operator="greaterThan">
      <formula>0</formula>
    </cfRule>
  </conditionalFormatting>
  <conditionalFormatting sqref="X115 AC115">
    <cfRule type="expression" dxfId="165" priority="454">
      <formula>$AM$115=2</formula>
    </cfRule>
  </conditionalFormatting>
  <conditionalFormatting sqref="X116 AC116">
    <cfRule type="expression" dxfId="164" priority="452">
      <formula>$AM$116=2</formula>
    </cfRule>
  </conditionalFormatting>
  <conditionalFormatting sqref="X117 AC117">
    <cfRule type="expression" dxfId="163" priority="450">
      <formula>$AM$117=2</formula>
    </cfRule>
  </conditionalFormatting>
  <conditionalFormatting sqref="X196">
    <cfRule type="expression" dxfId="162" priority="233">
      <formula>ISBLANK(X196)</formula>
    </cfRule>
  </conditionalFormatting>
  <conditionalFormatting sqref="Y133:AA134">
    <cfRule type="expression" priority="151" stopIfTrue="1">
      <formula>$AM$136=1</formula>
    </cfRule>
  </conditionalFormatting>
  <conditionalFormatting sqref="AA14:AA15">
    <cfRule type="expression" dxfId="161" priority="124">
      <formula>ISBLANK(AA14)</formula>
    </cfRule>
  </conditionalFormatting>
  <conditionalFormatting sqref="AA17">
    <cfRule type="expression" dxfId="160" priority="115">
      <formula>$AM$16=3</formula>
    </cfRule>
  </conditionalFormatting>
  <conditionalFormatting sqref="AA17:AB17">
    <cfRule type="expression" dxfId="159" priority="114">
      <formula>$AL$14=1</formula>
    </cfRule>
  </conditionalFormatting>
  <conditionalFormatting sqref="AA14:AD15">
    <cfRule type="expression" dxfId="158" priority="105">
      <formula>$AM$16=2</formula>
    </cfRule>
    <cfRule type="expression" dxfId="157" priority="106">
      <formula>$AM$16=1</formula>
    </cfRule>
  </conditionalFormatting>
  <conditionalFormatting sqref="AB26:AB34">
    <cfRule type="cellIs" dxfId="156" priority="518" operator="greaterThan">
      <formula>0</formula>
    </cfRule>
    <cfRule type="expression" dxfId="155" priority="519">
      <formula>$AB$24=2</formula>
    </cfRule>
  </conditionalFormatting>
  <conditionalFormatting sqref="AB39:AB47">
    <cfRule type="expression" dxfId="154" priority="1240">
      <formula>$AB$37=2</formula>
    </cfRule>
    <cfRule type="cellIs" dxfId="153" priority="1239" operator="greaterThan">
      <formula>0</formula>
    </cfRule>
  </conditionalFormatting>
  <conditionalFormatting sqref="AC6">
    <cfRule type="cellIs" dxfId="152" priority="53" operator="equal">
      <formula>0</formula>
    </cfRule>
  </conditionalFormatting>
  <conditionalFormatting sqref="AC10">
    <cfRule type="expression" dxfId="151" priority="47">
      <formula>ISBLANK(AC10)</formula>
    </cfRule>
  </conditionalFormatting>
  <conditionalFormatting sqref="AC84">
    <cfRule type="expression" priority="1267" stopIfTrue="1">
      <formula>$AL$84=2</formula>
    </cfRule>
    <cfRule type="cellIs" priority="1266" stopIfTrue="1" operator="greaterThan">
      <formula>0</formula>
    </cfRule>
    <cfRule type="expression" dxfId="150" priority="1268">
      <formula>ISBLANK(AC84)</formula>
    </cfRule>
  </conditionalFormatting>
  <conditionalFormatting sqref="AC88">
    <cfRule type="expression" dxfId="149" priority="288">
      <formula>ISBLANK(AC88)</formula>
    </cfRule>
    <cfRule type="expression" priority="287" stopIfTrue="1">
      <formula>$AL$88=2</formula>
    </cfRule>
    <cfRule type="cellIs" priority="286" stopIfTrue="1" operator="greaterThan">
      <formula>0</formula>
    </cfRule>
  </conditionalFormatting>
  <conditionalFormatting sqref="AC91">
    <cfRule type="cellIs" priority="256" stopIfTrue="1" operator="greaterThan">
      <formula>0</formula>
    </cfRule>
    <cfRule type="expression" priority="257" stopIfTrue="1">
      <formula>$AL$91=2</formula>
    </cfRule>
    <cfRule type="expression" dxfId="148" priority="258">
      <formula>ISBLANK(AC91)</formula>
    </cfRule>
  </conditionalFormatting>
  <conditionalFormatting sqref="AC97">
    <cfRule type="expression" dxfId="147" priority="10">
      <formula>ISBLANK(AC97)</formula>
    </cfRule>
    <cfRule type="cellIs" priority="8" stopIfTrue="1" operator="greaterThan">
      <formula>0</formula>
    </cfRule>
    <cfRule type="expression" priority="9" stopIfTrue="1">
      <formula>$AL$97=2</formula>
    </cfRule>
  </conditionalFormatting>
  <conditionalFormatting sqref="AD63">
    <cfRule type="cellIs" priority="80" stopIfTrue="1" operator="greaterThan">
      <formula>0</formula>
    </cfRule>
    <cfRule type="expression" dxfId="146" priority="81">
      <formula>$AL$63=2</formula>
    </cfRule>
  </conditionalFormatting>
  <conditionalFormatting sqref="AD200">
    <cfRule type="expression" dxfId="145" priority="235">
      <formula>ISBLANK(AD200)</formula>
    </cfRule>
  </conditionalFormatting>
  <conditionalFormatting sqref="AE14:AE15">
    <cfRule type="expression" dxfId="144" priority="113">
      <formula>$AM$16=3</formula>
    </cfRule>
  </conditionalFormatting>
  <conditionalFormatting sqref="AE95 AH95">
    <cfRule type="cellIs" priority="1269" operator="greaterThan">
      <formula>0</formula>
    </cfRule>
    <cfRule type="expression" dxfId="143" priority="1270">
      <formula>$AL$95=1</formula>
    </cfRule>
  </conditionalFormatting>
  <conditionalFormatting sqref="AE14:AF15">
    <cfRule type="expression" dxfId="142" priority="112">
      <formula>$AL$14=1</formula>
    </cfRule>
  </conditionalFormatting>
  <conditionalFormatting sqref="AE17:AH17">
    <cfRule type="cellIs" dxfId="141" priority="104" operator="equal">
      <formula>0</formula>
    </cfRule>
    <cfRule type="expression" priority="103" stopIfTrue="1">
      <formula>$AL$17=1</formula>
    </cfRule>
  </conditionalFormatting>
  <conditionalFormatting sqref="AF122 AI122">
    <cfRule type="expression" dxfId="140" priority="18">
      <formula>$AL122=1</formula>
    </cfRule>
    <cfRule type="expression" priority="17">
      <formula>$AL122=2</formula>
    </cfRule>
  </conditionalFormatting>
  <conditionalFormatting sqref="AF124 AI124">
    <cfRule type="expression" dxfId="139" priority="45">
      <formula>$AO124=1</formula>
    </cfRule>
  </conditionalFormatting>
  <conditionalFormatting sqref="AF126 AI126">
    <cfRule type="expression" dxfId="138" priority="43">
      <formula>$AO126=1</formula>
    </cfRule>
  </conditionalFormatting>
  <conditionalFormatting sqref="AF30:AH34">
    <cfRule type="cellIs" dxfId="137" priority="238" operator="equal">
      <formula>0</formula>
    </cfRule>
  </conditionalFormatting>
  <conditionalFormatting sqref="AF43:AH47">
    <cfRule type="cellIs" dxfId="136" priority="237" operator="equal">
      <formula>0</formula>
    </cfRule>
  </conditionalFormatting>
  <conditionalFormatting sqref="AF71:AH71">
    <cfRule type="cellIs" dxfId="135" priority="298" operator="lessThan">
      <formula>2</formula>
    </cfRule>
  </conditionalFormatting>
  <conditionalFormatting sqref="AG129:AG134">
    <cfRule type="expression" dxfId="134" priority="145">
      <formula>ISBLANK(AG129)</formula>
    </cfRule>
  </conditionalFormatting>
  <conditionalFormatting sqref="AG129:AI134">
    <cfRule type="expression" dxfId="133" priority="1250">
      <formula>$AP129=1</formula>
    </cfRule>
    <cfRule type="expression" dxfId="132" priority="154" stopIfTrue="1">
      <formula>$AN129=1</formula>
    </cfRule>
    <cfRule type="expression" dxfId="131" priority="155">
      <formula>$AO129=1</formula>
    </cfRule>
  </conditionalFormatting>
  <conditionalFormatting sqref="AI124">
    <cfRule type="expression" dxfId="130" priority="46">
      <formula>$AP124=2</formula>
    </cfRule>
  </conditionalFormatting>
  <conditionalFormatting sqref="AI126">
    <cfRule type="expression" dxfId="129" priority="44">
      <formula>$AP126=2</formula>
    </cfRule>
  </conditionalFormatting>
  <dataValidations count="2">
    <dataValidation type="list" allowBlank="1" showInputMessage="1" showErrorMessage="1" sqref="M84:P84 M88:P88 M91:P91 M97:P97" xr:uid="{BBFC1B51-BAC7-408F-9A20-8A2F604EEA48}">
      <formula1>Material</formula1>
    </dataValidation>
    <dataValidation type="list" allowBlank="1" showInputMessage="1" showErrorMessage="1" sqref="W91:Y91 W97:Y97" xr:uid="{1EB110C4-B9A9-486B-998B-DDE0473B8F46}">
      <formula1>Shape</formula1>
    </dataValidation>
  </dataValidations>
  <pageMargins left="0.2" right="0.2" top="0.5" bottom="0.25" header="0.3" footer="0.3"/>
  <pageSetup orientation="portrait" r:id="rId1"/>
  <rowBreaks count="4" manualBreakCount="4">
    <brk id="54" max="16383" man="1"/>
    <brk id="106" max="16383" man="1"/>
    <brk id="151" max="16383" man="1"/>
    <brk id="204" max="16383" man="1"/>
  </rowBreak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D770B13-86DC-4C38-9E5A-31FA57EE1A79}">
          <x14:formula1>
            <xm:f>Tables!$H$9:$H$14</xm:f>
          </x14:formula1>
          <xm:sqref>F124:N124</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49952DC7-1027-4C95-8D12-92CD0CD21164}">
          <x14:formula1>
            <xm:f>Tables!$B$8</xm:f>
          </x14:formula1>
          <xm:sqref>R170 AE7:AJ8 E7:X8 F10 F12 M10 M12 T10 AC10 AA14:AD15 G14 J14 J16:M20 L168 O170 M126 V126 L25:N34 P25:R34 T25:V34 X25:Z34 AB25:AD34 AF26:AH26 AF29:AH34 L38:N47 P38:R47 T38:V47 X38:Z47 AB38:AD47 AF39:AH39 AF42:AH47 I59 L59 O59 R59 D61 D63 D65 D67 K65 K61 R61 R63 R65 AA61 AD63:AJ63 G67:T67 G69:I69 X69 AA69 I168 I71 P71:R71 J73 M73 R73:AH73 J76:L80 O76:Q80 T76:W80 Z76:AC80 AF76:AH80 J82 M82 R82:AH82 AC84 M85:O86 W85:Y86 AC88 AC91 AF93:AH93 AE95 AH95 AF103:AH103 W103:Y103 W101:Y101 M98:O99 W95:Y95 W93:Y93 W89:Y89 M89:O89 M93:O93 M95:O95 AF71 M101:O101 M103:O103 C111:E117 H111:J117 M111:P117 X111:Z117 AC111:AF118 S111:U118 W120:Z120 O120:R120 AF124 AF126 AI124 AI126 B137:AJ147 F126 AC6 M129:O134 Q129:S134 U129:W134 Y129:AA134 AC129:AE134 AG129:AI134 C156 C158 F158 F156 I160 I162 L162 L160 O164 O166 R166 R164 C174 C176 C178 I180 L180 F178 F176 F174 F193:Z195 F196:L196 P196:S196 X196:Z196 F197:Z197 F198:J198 AD200:AH200 G71 W98:Y99 AC97 AA63:AA65 AF122 AI122 C51 F51</xm:sqref>
        </x14:dataValidation>
        <x14:dataValidation type="list" allowBlank="1" showInputMessage="1" showErrorMessage="1" xr:uid="{4992E79B-B5C4-4360-BA46-EC6129C0AA2A}">
          <x14:formula1>
            <xm:f>Tables!$K$27:$K$30</xm:f>
          </x14:formula1>
          <xm:sqref>R172</xm:sqref>
        </x14:dataValidation>
        <x14:dataValidation type="list" allowBlank="1" showInputMessage="1" showErrorMessage="1" xr:uid="{79185762-89EF-4D56-AF3E-989E82A86877}">
          <x14:formula1>
            <xm:f>Tables!$H$19:$H$23</xm:f>
          </x14:formula1>
          <xm:sqref>V124</xm:sqref>
        </x14:dataValidation>
        <x14:dataValidation type="list" allowBlank="1" showInputMessage="1" showErrorMessage="1" xr:uid="{6882A8A1-F30F-482D-9CAD-3857881F815B}">
          <x14:formula1>
            <xm:f>Tables!$D$2:$D$9</xm:f>
          </x14:formula1>
          <xm:sqref>M97 M91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D239"/>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38" width="2.6640625" style="25" customWidth="1"/>
    <col min="39" max="39" width="10.33203125" style="19" hidden="1" customWidth="1"/>
    <col min="40" max="40" width="8.5546875" style="19" hidden="1" customWidth="1"/>
    <col min="41" max="41" width="9.109375" style="19" hidden="1" customWidth="1"/>
    <col min="42" max="44" width="7.21875" style="19" hidden="1" customWidth="1"/>
    <col min="45" max="45" width="11" style="19" hidden="1" customWidth="1"/>
    <col min="46" max="46" width="2.77734375" style="25" customWidth="1"/>
    <col min="47" max="47" width="2.77734375" style="20" customWidth="1"/>
    <col min="48" max="82" width="2.77734375" style="25" customWidth="1"/>
    <col min="83" max="16384" width="2.77734375" style="25" hidden="1"/>
  </cols>
  <sheetData>
    <row r="1" spans="1:81" ht="15" customHeight="1" x14ac:dyDescent="0.3">
      <c r="N1" s="3"/>
      <c r="O1" s="3"/>
      <c r="P1" s="3"/>
      <c r="Q1" s="3"/>
      <c r="R1" s="21"/>
      <c r="T1" s="21"/>
      <c r="U1" s="21"/>
      <c r="V1" s="168" t="s">
        <v>358</v>
      </c>
      <c r="W1" s="168"/>
      <c r="X1" s="168"/>
      <c r="Y1" s="168"/>
      <c r="Z1" s="168"/>
      <c r="AA1" s="168"/>
      <c r="AB1" s="168"/>
      <c r="AC1" s="168"/>
      <c r="AD1" s="168"/>
      <c r="AE1" s="168"/>
      <c r="AF1" s="168"/>
      <c r="AG1" s="168"/>
      <c r="AH1" s="168"/>
      <c r="AI1" s="168"/>
      <c r="AJ1" s="168"/>
      <c r="AK1" s="168"/>
      <c r="AL1" s="168"/>
      <c r="BB1" s="21"/>
      <c r="BC1" s="21"/>
      <c r="BD1" s="21"/>
      <c r="BE1" s="21"/>
      <c r="BF1" s="21"/>
      <c r="BG1" s="21"/>
      <c r="BH1" s="21"/>
      <c r="BI1" s="21"/>
      <c r="BJ1" s="21"/>
      <c r="BL1" s="168" t="str">
        <f>V1</f>
        <v>Form 3F - Permeable Pavement
As-Built Certification Form</v>
      </c>
      <c r="BM1" s="168"/>
      <c r="BN1" s="168"/>
      <c r="BO1" s="168"/>
      <c r="BP1" s="168"/>
      <c r="BQ1" s="168"/>
      <c r="BR1" s="168"/>
      <c r="BS1" s="168"/>
      <c r="BT1" s="168"/>
      <c r="BU1" s="168"/>
      <c r="BV1" s="168"/>
      <c r="BW1" s="168"/>
      <c r="BX1" s="168"/>
      <c r="BY1" s="168"/>
      <c r="BZ1" s="168"/>
      <c r="CA1" s="168"/>
      <c r="CB1" s="168"/>
      <c r="CC1" s="21"/>
    </row>
    <row r="2" spans="1:81" ht="15" customHeight="1" x14ac:dyDescent="0.3">
      <c r="J2" s="3"/>
      <c r="K2" s="3"/>
      <c r="L2" s="3"/>
      <c r="M2" s="3"/>
      <c r="N2" s="3"/>
      <c r="O2" s="3"/>
      <c r="P2" s="3"/>
      <c r="Q2" s="3"/>
      <c r="R2" s="21"/>
      <c r="S2" s="21"/>
      <c r="T2" s="21"/>
      <c r="U2" s="21"/>
      <c r="V2" s="168"/>
      <c r="W2" s="168"/>
      <c r="X2" s="168"/>
      <c r="Y2" s="168"/>
      <c r="Z2" s="168"/>
      <c r="AA2" s="168"/>
      <c r="AB2" s="168"/>
      <c r="AC2" s="168"/>
      <c r="AD2" s="168"/>
      <c r="AE2" s="168"/>
      <c r="AF2" s="168"/>
      <c r="AG2" s="168"/>
      <c r="AH2" s="168"/>
      <c r="AI2" s="168"/>
      <c r="AJ2" s="168"/>
      <c r="AK2" s="168"/>
      <c r="AL2" s="168"/>
      <c r="BA2" s="21"/>
      <c r="BB2" s="21"/>
      <c r="BC2" s="21"/>
      <c r="BD2" s="21"/>
      <c r="BE2" s="21"/>
      <c r="BF2" s="21"/>
      <c r="BG2" s="21"/>
      <c r="BH2" s="21"/>
      <c r="BI2" s="21"/>
      <c r="BJ2" s="21"/>
      <c r="BK2" s="21"/>
      <c r="BL2" s="168"/>
      <c r="BM2" s="168"/>
      <c r="BN2" s="168"/>
      <c r="BO2" s="168"/>
      <c r="BP2" s="168"/>
      <c r="BQ2" s="168"/>
      <c r="BR2" s="168"/>
      <c r="BS2" s="168"/>
      <c r="BT2" s="168"/>
      <c r="BU2" s="168"/>
      <c r="BV2" s="168"/>
      <c r="BW2" s="168"/>
      <c r="BX2" s="168"/>
      <c r="BY2" s="168"/>
      <c r="BZ2" s="168"/>
      <c r="CA2" s="168"/>
      <c r="CB2" s="168"/>
      <c r="CC2" s="21"/>
    </row>
    <row r="3" spans="1:81" ht="15" customHeight="1" x14ac:dyDescent="0.3">
      <c r="J3" s="3"/>
      <c r="K3" s="3"/>
      <c r="L3" s="3"/>
      <c r="M3" s="3"/>
      <c r="N3" s="3"/>
      <c r="O3" s="3"/>
      <c r="P3" s="3"/>
      <c r="Q3" s="3"/>
      <c r="R3" s="21"/>
      <c r="S3" s="21"/>
      <c r="T3" s="21"/>
      <c r="U3" s="21"/>
      <c r="V3" s="168"/>
      <c r="W3" s="168"/>
      <c r="X3" s="168"/>
      <c r="Y3" s="168"/>
      <c r="Z3" s="168"/>
      <c r="AA3" s="168"/>
      <c r="AB3" s="168"/>
      <c r="AC3" s="168"/>
      <c r="AD3" s="168"/>
      <c r="AE3" s="168"/>
      <c r="AF3" s="168"/>
      <c r="AG3" s="168"/>
      <c r="AH3" s="168"/>
      <c r="AI3" s="168"/>
      <c r="AJ3" s="168"/>
      <c r="AK3" s="168"/>
      <c r="AL3" s="168"/>
      <c r="BA3" s="21"/>
      <c r="BB3" s="21"/>
      <c r="BC3" s="21"/>
      <c r="BD3" s="21"/>
      <c r="BE3" s="21"/>
      <c r="BF3" s="21"/>
      <c r="BG3" s="21"/>
      <c r="BH3" s="21"/>
      <c r="BI3" s="21"/>
      <c r="BJ3" s="21"/>
      <c r="BK3" s="21"/>
      <c r="BL3" s="168"/>
      <c r="BM3" s="168"/>
      <c r="BN3" s="168"/>
      <c r="BO3" s="168"/>
      <c r="BP3" s="168"/>
      <c r="BQ3" s="168"/>
      <c r="BR3" s="168"/>
      <c r="BS3" s="168"/>
      <c r="BT3" s="168"/>
      <c r="BU3" s="168"/>
      <c r="BV3" s="168"/>
      <c r="BW3" s="168"/>
      <c r="BX3" s="168"/>
      <c r="BY3" s="168"/>
      <c r="BZ3" s="168"/>
      <c r="CA3" s="168"/>
      <c r="CB3" s="168"/>
      <c r="CC3" s="21"/>
    </row>
    <row r="4" spans="1:81" ht="15" customHeight="1" x14ac:dyDescent="0.3">
      <c r="J4" s="3"/>
      <c r="K4" s="3"/>
      <c r="L4" s="3"/>
      <c r="M4" s="3"/>
      <c r="N4" s="3"/>
      <c r="O4" s="3"/>
      <c r="P4" s="3"/>
      <c r="Q4" s="3"/>
      <c r="R4" s="21"/>
      <c r="S4" s="21"/>
      <c r="T4" s="21"/>
      <c r="U4" s="21"/>
      <c r="V4" s="168"/>
      <c r="W4" s="168"/>
      <c r="X4" s="168"/>
      <c r="Y4" s="168"/>
      <c r="Z4" s="168"/>
      <c r="AA4" s="168"/>
      <c r="AB4" s="168"/>
      <c r="AC4" s="168"/>
      <c r="AD4" s="168"/>
      <c r="AE4" s="168"/>
      <c r="AF4" s="168"/>
      <c r="AG4" s="168"/>
      <c r="AH4" s="168"/>
      <c r="AI4" s="168"/>
      <c r="AJ4" s="168"/>
      <c r="AK4" s="168"/>
      <c r="AL4" s="168"/>
      <c r="BA4" s="21"/>
      <c r="BB4" s="21"/>
      <c r="BC4" s="21"/>
      <c r="BD4" s="21"/>
      <c r="BE4" s="21"/>
      <c r="BF4" s="21"/>
      <c r="BG4" s="21"/>
      <c r="BH4" s="21"/>
      <c r="BI4" s="21"/>
      <c r="BJ4" s="21"/>
      <c r="BK4" s="21"/>
      <c r="BL4" s="168"/>
      <c r="BM4" s="168"/>
      <c r="BN4" s="168"/>
      <c r="BO4" s="168"/>
      <c r="BP4" s="168"/>
      <c r="BQ4" s="168"/>
      <c r="BR4" s="168"/>
      <c r="BS4" s="168"/>
      <c r="BT4" s="168"/>
      <c r="BU4" s="168"/>
      <c r="BV4" s="168"/>
      <c r="BW4" s="168"/>
      <c r="BX4" s="168"/>
      <c r="BY4" s="168"/>
      <c r="BZ4" s="168"/>
      <c r="CA4" s="168"/>
      <c r="CB4" s="168"/>
      <c r="CC4" s="21"/>
    </row>
    <row r="5" spans="1:81" ht="4.95" customHeight="1" x14ac:dyDescent="0.3">
      <c r="J5" s="3"/>
      <c r="K5" s="3"/>
      <c r="L5" s="3"/>
      <c r="M5" s="3"/>
      <c r="N5" s="3"/>
      <c r="O5" s="3"/>
      <c r="P5" s="3"/>
      <c r="Q5" s="3"/>
      <c r="R5" s="22"/>
      <c r="S5" s="22"/>
      <c r="T5" s="22"/>
      <c r="U5" s="22"/>
      <c r="V5" s="22"/>
      <c r="W5" s="22"/>
      <c r="X5" s="22"/>
      <c r="Y5" s="22"/>
      <c r="Z5" s="22"/>
      <c r="AA5" s="22"/>
      <c r="AB5" s="22"/>
      <c r="AC5" s="22"/>
      <c r="AD5" s="22"/>
      <c r="AE5" s="22"/>
      <c r="AF5" s="22"/>
      <c r="AG5" s="22"/>
      <c r="AH5" s="22"/>
      <c r="AI5" s="22"/>
      <c r="AJ5" s="22"/>
      <c r="AK5" s="22"/>
    </row>
    <row r="6" spans="1:81" ht="15" customHeight="1" x14ac:dyDescent="0.3">
      <c r="A6" s="1" t="s">
        <v>0</v>
      </c>
      <c r="C6" s="1"/>
      <c r="D6" s="1"/>
      <c r="E6" s="1"/>
      <c r="F6" s="1"/>
      <c r="G6" s="1"/>
      <c r="H6" s="1"/>
      <c r="I6" s="1"/>
      <c r="AC6" s="2" t="s">
        <v>366</v>
      </c>
      <c r="AD6" s="217">
        <f>'Form 2F.1 - Design'!AC6</f>
        <v>0</v>
      </c>
      <c r="AE6" s="217"/>
      <c r="AF6" s="217"/>
      <c r="AG6" s="217"/>
      <c r="AH6" s="217"/>
      <c r="AI6" s="217"/>
      <c r="AJ6" s="217"/>
      <c r="AK6" s="217"/>
      <c r="AM6" s="83">
        <f>LEN(AD6)</f>
        <v>1</v>
      </c>
      <c r="AU6" s="214" t="s">
        <v>61</v>
      </c>
      <c r="AV6" s="214"/>
      <c r="AW6" s="214"/>
      <c r="AX6" s="214"/>
      <c r="AY6" s="214"/>
      <c r="AZ6" s="214"/>
      <c r="BA6" s="214"/>
      <c r="BB6" s="214"/>
      <c r="BC6" s="214"/>
      <c r="BD6" s="214"/>
      <c r="BE6" s="214"/>
      <c r="BF6" s="214"/>
    </row>
    <row r="7" spans="1:81" ht="15" customHeight="1" x14ac:dyDescent="0.3">
      <c r="C7" s="2"/>
      <c r="D7" s="2" t="s">
        <v>1</v>
      </c>
      <c r="E7" s="179">
        <f>'Form 2F.1 - Design'!$E$7</f>
        <v>0</v>
      </c>
      <c r="F7" s="179"/>
      <c r="G7" s="179"/>
      <c r="H7" s="179"/>
      <c r="I7" s="179"/>
      <c r="J7" s="179"/>
      <c r="K7" s="179"/>
      <c r="L7" s="179"/>
      <c r="M7" s="179"/>
      <c r="N7" s="179"/>
      <c r="O7" s="179"/>
      <c r="P7" s="179"/>
      <c r="Q7" s="179"/>
      <c r="R7" s="179"/>
      <c r="S7" s="179"/>
      <c r="T7" s="179"/>
      <c r="U7" s="179"/>
      <c r="V7" s="179"/>
      <c r="W7" s="179"/>
      <c r="X7" s="179"/>
      <c r="Y7" s="179"/>
      <c r="Z7" s="179"/>
      <c r="AE7" s="2" t="s">
        <v>20</v>
      </c>
      <c r="AF7" s="236"/>
      <c r="AG7" s="236"/>
      <c r="AH7" s="236"/>
      <c r="AI7" s="236"/>
      <c r="AJ7" s="236"/>
      <c r="AK7" s="236"/>
      <c r="AU7" s="214"/>
      <c r="AV7" s="214"/>
      <c r="AW7" s="214"/>
      <c r="AX7" s="214"/>
      <c r="AY7" s="214"/>
      <c r="AZ7" s="214"/>
      <c r="BA7" s="214"/>
      <c r="BB7" s="214"/>
      <c r="BC7" s="214"/>
      <c r="BD7" s="214"/>
      <c r="BE7" s="214"/>
      <c r="BF7" s="214"/>
    </row>
    <row r="8" spans="1:81" ht="15" customHeight="1" x14ac:dyDescent="0.3">
      <c r="C8" s="2"/>
      <c r="D8" s="2" t="s">
        <v>19</v>
      </c>
      <c r="E8" s="237">
        <f>'Form 2F.1 - Design'!$E$8</f>
        <v>0</v>
      </c>
      <c r="F8" s="237"/>
      <c r="G8" s="237"/>
      <c r="H8" s="237"/>
      <c r="I8" s="237"/>
      <c r="J8" s="237"/>
      <c r="K8" s="237"/>
      <c r="L8" s="237"/>
      <c r="M8" s="237"/>
      <c r="N8" s="237"/>
      <c r="O8" s="237"/>
      <c r="P8" s="237"/>
      <c r="Q8" s="237"/>
      <c r="R8" s="237"/>
      <c r="S8" s="237"/>
      <c r="T8" s="237"/>
      <c r="U8" s="237"/>
      <c r="V8" s="237"/>
      <c r="W8" s="237"/>
      <c r="X8" s="237"/>
      <c r="Y8" s="237"/>
      <c r="Z8" s="237"/>
      <c r="AE8" s="2" t="s">
        <v>31</v>
      </c>
      <c r="AF8" s="199">
        <f>'Form 2F.1 - Design'!AE8</f>
        <v>0</v>
      </c>
      <c r="AG8" s="199"/>
      <c r="AH8" s="199"/>
      <c r="AI8" s="199"/>
      <c r="AJ8" s="199"/>
      <c r="AK8" s="199"/>
      <c r="AU8" s="20">
        <v>1</v>
      </c>
      <c r="AV8" s="79" t="s">
        <v>79</v>
      </c>
      <c r="BA8" s="78"/>
      <c r="BB8" s="58"/>
      <c r="BC8" s="58"/>
      <c r="BD8" s="58"/>
      <c r="BE8" s="58"/>
      <c r="BF8" s="58"/>
    </row>
    <row r="9" spans="1:81" ht="4.95" customHeight="1" x14ac:dyDescent="0.3">
      <c r="H9" s="2"/>
      <c r="I9" s="2"/>
      <c r="AY9" s="78"/>
      <c r="AZ9" s="78"/>
      <c r="BB9" s="24"/>
      <c r="BC9" s="24"/>
      <c r="BD9" s="24"/>
      <c r="BE9" s="24"/>
      <c r="BF9" s="24"/>
    </row>
    <row r="10" spans="1:81" ht="15" customHeight="1" x14ac:dyDescent="0.3">
      <c r="B10" s="25" t="s">
        <v>107</v>
      </c>
      <c r="G10" s="156"/>
      <c r="H10" s="25" t="s">
        <v>104</v>
      </c>
      <c r="N10" s="156"/>
      <c r="O10" s="25" t="s">
        <v>105</v>
      </c>
      <c r="W10" s="4"/>
      <c r="X10" s="4"/>
      <c r="Y10" s="4"/>
      <c r="Z10" s="156"/>
      <c r="AA10" s="25" t="str">
        <f>Tables!F24</f>
        <v xml:space="preserve"> O&amp;M Agreement</v>
      </c>
      <c r="AH10" s="156"/>
      <c r="AI10" s="25" t="s">
        <v>108</v>
      </c>
      <c r="AV10" s="4" t="s">
        <v>81</v>
      </c>
      <c r="AW10" s="79" t="s">
        <v>504</v>
      </c>
      <c r="AX10" s="78"/>
      <c r="AY10" s="78"/>
      <c r="AZ10" s="78"/>
      <c r="BB10" s="24"/>
      <c r="BC10" s="24"/>
      <c r="BD10" s="24"/>
      <c r="BE10" s="24"/>
      <c r="BF10" s="24"/>
    </row>
    <row r="11" spans="1:81" ht="4.95" customHeight="1" x14ac:dyDescent="0.3">
      <c r="AX11" s="78"/>
      <c r="BB11" s="24"/>
      <c r="BC11" s="24"/>
      <c r="BD11" s="24"/>
      <c r="BE11" s="24"/>
      <c r="BF11" s="24"/>
    </row>
    <row r="12" spans="1:81" ht="15" customHeight="1" x14ac:dyDescent="0.3">
      <c r="A12" s="235" t="s">
        <v>320</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V12" s="4" t="s">
        <v>82</v>
      </c>
      <c r="AW12" s="79" t="s">
        <v>80</v>
      </c>
      <c r="BA12" s="78"/>
      <c r="BB12" s="58"/>
      <c r="BC12" s="58"/>
      <c r="BD12" s="58"/>
      <c r="BE12" s="58"/>
      <c r="BF12" s="58"/>
    </row>
    <row r="13" spans="1:81" ht="15" customHeight="1" x14ac:dyDescent="0.3">
      <c r="A13" s="1" t="s">
        <v>49</v>
      </c>
      <c r="C13" s="1"/>
      <c r="D13" s="1"/>
      <c r="E13" s="1"/>
      <c r="F13" s="1"/>
      <c r="G13" s="1"/>
      <c r="I13" s="1"/>
      <c r="J13" s="1"/>
      <c r="K13" s="1"/>
      <c r="L13" s="1"/>
      <c r="M13" s="1"/>
      <c r="N13" s="1"/>
      <c r="O13" s="1"/>
      <c r="P13" s="1"/>
      <c r="Q13" s="1"/>
      <c r="R13" s="1"/>
      <c r="S13" s="71"/>
      <c r="T13" s="1" t="s">
        <v>50</v>
      </c>
      <c r="V13" s="1"/>
      <c r="W13" s="1"/>
      <c r="X13" s="1"/>
      <c r="Y13" s="1"/>
      <c r="Z13" s="1"/>
      <c r="AA13" s="1"/>
      <c r="AB13" s="1"/>
      <c r="AD13" s="1"/>
      <c r="AE13" s="1"/>
      <c r="AF13" s="1"/>
      <c r="AG13" s="1"/>
      <c r="AI13" s="53"/>
      <c r="AJ13" s="53"/>
      <c r="AU13" s="20">
        <v>2</v>
      </c>
      <c r="AV13" s="79" t="s">
        <v>92</v>
      </c>
      <c r="BA13" s="78"/>
      <c r="BB13" s="58"/>
      <c r="BC13" s="58"/>
      <c r="BD13" s="58"/>
      <c r="BE13" s="58"/>
      <c r="BF13" s="58"/>
    </row>
    <row r="14" spans="1:81" ht="14.55" customHeight="1" x14ac:dyDescent="0.3">
      <c r="M14" s="2" t="s">
        <v>329</v>
      </c>
      <c r="N14" s="218">
        <f>'Form 2F.1 - Design'!G69</f>
        <v>0</v>
      </c>
      <c r="O14" s="218"/>
      <c r="P14" s="218"/>
      <c r="Q14" s="25" t="s">
        <v>176</v>
      </c>
      <c r="S14" s="71"/>
      <c r="AF14" s="2" t="s">
        <v>329</v>
      </c>
      <c r="AG14" s="177"/>
      <c r="AH14" s="177"/>
      <c r="AI14" s="177"/>
      <c r="AJ14" s="25" t="s">
        <v>176</v>
      </c>
      <c r="AV14" s="4" t="s">
        <v>81</v>
      </c>
      <c r="AW14" s="78" t="s">
        <v>243</v>
      </c>
      <c r="AX14" s="78"/>
      <c r="AY14" s="78"/>
      <c r="AZ14" s="78"/>
      <c r="BA14" s="52"/>
      <c r="BB14" s="57"/>
      <c r="BC14" s="57"/>
      <c r="BD14" s="57"/>
      <c r="BE14" s="57"/>
      <c r="BF14" s="57"/>
    </row>
    <row r="15" spans="1:81" ht="14.55" customHeight="1" x14ac:dyDescent="0.3">
      <c r="M15" s="2" t="s">
        <v>175</v>
      </c>
      <c r="N15" s="219">
        <f>'Form 2F.1 - Design'!AF71</f>
        <v>0</v>
      </c>
      <c r="O15" s="219"/>
      <c r="P15" s="219"/>
      <c r="Q15" s="25" t="s">
        <v>39</v>
      </c>
      <c r="S15" s="71"/>
      <c r="AF15" s="2" t="s">
        <v>175</v>
      </c>
      <c r="AG15" s="171"/>
      <c r="AH15" s="171"/>
      <c r="AI15" s="171"/>
      <c r="AJ15" s="25" t="s">
        <v>39</v>
      </c>
      <c r="AW15" s="78" t="s">
        <v>244</v>
      </c>
      <c r="AX15" s="78"/>
      <c r="AY15" s="78"/>
      <c r="AZ15" s="78"/>
      <c r="BA15" s="52"/>
      <c r="BB15" s="57"/>
      <c r="BC15" s="57"/>
      <c r="BD15" s="57"/>
      <c r="BE15" s="57"/>
      <c r="BF15" s="57"/>
    </row>
    <row r="16" spans="1:81" ht="4.95" customHeight="1" x14ac:dyDescent="0.3">
      <c r="S16" s="71"/>
      <c r="AX16" s="52"/>
      <c r="AY16" s="52"/>
      <c r="AZ16" s="52"/>
      <c r="BA16" s="66"/>
      <c r="BB16" s="69"/>
      <c r="BC16" s="69"/>
      <c r="BD16" s="69"/>
      <c r="BE16" s="69"/>
      <c r="BF16" s="69"/>
    </row>
    <row r="17" spans="2:58" ht="14.55" customHeight="1" x14ac:dyDescent="0.3">
      <c r="M17" s="2" t="s">
        <v>210</v>
      </c>
      <c r="N17" s="157">
        <f>'Form 2F.1 - Design'!X69</f>
        <v>0</v>
      </c>
      <c r="O17" s="25" t="s">
        <v>109</v>
      </c>
      <c r="P17" s="2"/>
      <c r="Q17" s="157">
        <f>'Form 2F.1 - Design'!AA69</f>
        <v>0</v>
      </c>
      <c r="R17" s="25" t="s">
        <v>110</v>
      </c>
      <c r="S17" s="71"/>
      <c r="AF17" s="2" t="s">
        <v>210</v>
      </c>
      <c r="AG17" s="156"/>
      <c r="AH17" s="25" t="s">
        <v>109</v>
      </c>
      <c r="AI17" s="2"/>
      <c r="AJ17" s="156"/>
      <c r="AK17" s="25" t="s">
        <v>110</v>
      </c>
      <c r="AM17" s="83">
        <f>IF(AND(ISBLANK(AG17),ISBLANK(AJ17)),1,2)</f>
        <v>1</v>
      </c>
      <c r="AV17" s="4" t="s">
        <v>82</v>
      </c>
      <c r="AW17" s="79" t="s">
        <v>86</v>
      </c>
      <c r="AX17" s="52"/>
      <c r="AY17" s="52"/>
      <c r="AZ17" s="52"/>
      <c r="BB17" s="24"/>
      <c r="BC17" s="24"/>
      <c r="BD17" s="24"/>
      <c r="BE17" s="24"/>
      <c r="BF17" s="24"/>
    </row>
    <row r="18" spans="2:58" ht="14.55" customHeight="1" x14ac:dyDescent="0.3">
      <c r="E18" s="2" t="s">
        <v>178</v>
      </c>
      <c r="F18" s="157">
        <f>'Form 2F.1 - Design'!J73</f>
        <v>0</v>
      </c>
      <c r="G18" s="25" t="s">
        <v>109</v>
      </c>
      <c r="H18" s="2"/>
      <c r="I18" s="157">
        <f>'Form 2F.1 - Design'!M73</f>
        <v>0</v>
      </c>
      <c r="J18" s="25" t="s">
        <v>110</v>
      </c>
      <c r="M18" s="2" t="s">
        <v>177</v>
      </c>
      <c r="N18" s="222">
        <f>'Form 2F.1 - Design'!R73</f>
        <v>0</v>
      </c>
      <c r="O18" s="222"/>
      <c r="P18" s="222"/>
      <c r="Q18" s="222"/>
      <c r="R18" s="222"/>
      <c r="S18" s="71"/>
      <c r="X18" s="2" t="s">
        <v>178</v>
      </c>
      <c r="Y18" s="156"/>
      <c r="Z18" s="25" t="s">
        <v>109</v>
      </c>
      <c r="AA18" s="2"/>
      <c r="AB18" s="156"/>
      <c r="AC18" s="25" t="s">
        <v>110</v>
      </c>
      <c r="AF18" s="2" t="s">
        <v>177</v>
      </c>
      <c r="AG18" s="172"/>
      <c r="AH18" s="172"/>
      <c r="AI18" s="172"/>
      <c r="AJ18" s="172"/>
      <c r="AK18" s="172"/>
      <c r="AM18" s="83">
        <f>IF(AND(ISBLANK(Y18),ISBLANK(AB18)),1,2)</f>
        <v>1</v>
      </c>
      <c r="AN18" s="83">
        <f>IF(ISBLANK(Y18),1,2)</f>
        <v>1</v>
      </c>
      <c r="AU18" s="25"/>
      <c r="AV18" s="4" t="s">
        <v>95</v>
      </c>
      <c r="AW18" s="78" t="s">
        <v>545</v>
      </c>
      <c r="BA18" s="81"/>
      <c r="BB18" s="70"/>
      <c r="BC18" s="70"/>
      <c r="BD18" s="70"/>
      <c r="BE18" s="70"/>
      <c r="BF18" s="70"/>
    </row>
    <row r="19" spans="2:58" ht="15" customHeight="1" x14ac:dyDescent="0.3">
      <c r="S19" s="71"/>
      <c r="AI19" s="9"/>
      <c r="AJ19" s="9"/>
      <c r="AW19" s="78" t="s">
        <v>546</v>
      </c>
      <c r="AY19" s="81"/>
      <c r="AZ19" s="81"/>
      <c r="BA19" s="81"/>
      <c r="BB19" s="70"/>
      <c r="BC19" s="70"/>
      <c r="BD19" s="70"/>
      <c r="BE19" s="70"/>
      <c r="BF19" s="70"/>
    </row>
    <row r="20" spans="2:58" ht="14.55" customHeight="1" x14ac:dyDescent="0.3">
      <c r="B20" s="67" t="s">
        <v>186</v>
      </c>
      <c r="J20" s="4" t="s">
        <v>179</v>
      </c>
      <c r="N20" s="25" t="s">
        <v>180</v>
      </c>
      <c r="S20" s="71"/>
      <c r="U20" s="67" t="s">
        <v>186</v>
      </c>
      <c r="AC20" s="4" t="s">
        <v>179</v>
      </c>
      <c r="AG20" s="25" t="s">
        <v>180</v>
      </c>
      <c r="AV20" s="4" t="s">
        <v>96</v>
      </c>
      <c r="AW20" s="79" t="s">
        <v>87</v>
      </c>
      <c r="AX20" s="78"/>
      <c r="AY20" s="81"/>
      <c r="AZ20" s="81"/>
      <c r="BA20" s="78"/>
      <c r="BB20" s="58"/>
      <c r="BC20" s="58"/>
      <c r="BD20" s="58"/>
      <c r="BE20" s="58"/>
      <c r="BF20" s="58"/>
    </row>
    <row r="21" spans="2:58" ht="14.55" customHeight="1" x14ac:dyDescent="0.3">
      <c r="H21" s="2" t="s">
        <v>330</v>
      </c>
      <c r="I21" s="218">
        <f>'Form 2F.1 - Design'!J76</f>
        <v>0</v>
      </c>
      <c r="J21" s="224"/>
      <c r="K21" s="224"/>
      <c r="L21" s="25" t="s">
        <v>38</v>
      </c>
      <c r="N21" s="218">
        <f>'Form 2F.1 - Design'!O76</f>
        <v>0</v>
      </c>
      <c r="O21" s="224"/>
      <c r="P21" s="224"/>
      <c r="Q21" s="25" t="s">
        <v>39</v>
      </c>
      <c r="S21" s="71"/>
      <c r="AA21" s="2" t="s">
        <v>330</v>
      </c>
      <c r="AB21" s="177"/>
      <c r="AC21" s="177"/>
      <c r="AD21" s="177"/>
      <c r="AE21" s="25" t="s">
        <v>38</v>
      </c>
      <c r="AG21" s="177"/>
      <c r="AH21" s="177"/>
      <c r="AI21" s="177"/>
      <c r="AJ21" s="25" t="s">
        <v>39</v>
      </c>
      <c r="AU21" s="20">
        <v>3</v>
      </c>
      <c r="AV21" s="79" t="s">
        <v>83</v>
      </c>
      <c r="AY21" s="78"/>
      <c r="AZ21" s="78"/>
      <c r="BA21" s="78"/>
      <c r="BB21" s="58"/>
      <c r="BC21" s="58"/>
      <c r="BD21" s="58"/>
      <c r="BE21" s="58"/>
      <c r="BF21" s="58"/>
    </row>
    <row r="22" spans="2:58" ht="14.55" customHeight="1" x14ac:dyDescent="0.3">
      <c r="H22" s="2" t="s">
        <v>331</v>
      </c>
      <c r="I22" s="218">
        <f>'Form 2F.1 - Design'!J77</f>
        <v>0</v>
      </c>
      <c r="J22" s="224"/>
      <c r="K22" s="224"/>
      <c r="L22" s="25" t="s">
        <v>38</v>
      </c>
      <c r="N22" s="218">
        <f>'Form 2F.1 - Design'!O77</f>
        <v>0</v>
      </c>
      <c r="O22" s="224"/>
      <c r="P22" s="224"/>
      <c r="Q22" s="25" t="s">
        <v>39</v>
      </c>
      <c r="S22" s="71"/>
      <c r="AA22" s="2" t="s">
        <v>331</v>
      </c>
      <c r="AB22" s="171"/>
      <c r="AC22" s="171"/>
      <c r="AD22" s="171"/>
      <c r="AE22" s="25" t="s">
        <v>38</v>
      </c>
      <c r="AG22" s="171"/>
      <c r="AH22" s="171"/>
      <c r="AI22" s="171"/>
      <c r="AJ22" s="25" t="s">
        <v>39</v>
      </c>
      <c r="AV22" s="4" t="s">
        <v>81</v>
      </c>
      <c r="AW22" s="78" t="s">
        <v>505</v>
      </c>
      <c r="AY22" s="78"/>
      <c r="AZ22" s="78"/>
      <c r="BA22" s="52"/>
      <c r="BB22" s="57"/>
      <c r="BC22" s="57"/>
      <c r="BD22" s="57"/>
      <c r="BE22" s="57"/>
      <c r="BF22" s="57"/>
    </row>
    <row r="23" spans="2:58" ht="14.55" customHeight="1" x14ac:dyDescent="0.3">
      <c r="H23" s="2" t="s">
        <v>332</v>
      </c>
      <c r="I23" s="218">
        <f>'Form 2F.1 - Design'!J78</f>
        <v>0</v>
      </c>
      <c r="J23" s="224"/>
      <c r="K23" s="224"/>
      <c r="L23" s="25" t="s">
        <v>38</v>
      </c>
      <c r="N23" s="218">
        <f>'Form 2F.1 - Design'!O78</f>
        <v>0</v>
      </c>
      <c r="O23" s="224"/>
      <c r="P23" s="224"/>
      <c r="Q23" s="25" t="s">
        <v>39</v>
      </c>
      <c r="S23" s="71"/>
      <c r="AA23" s="2" t="s">
        <v>332</v>
      </c>
      <c r="AB23" s="171"/>
      <c r="AC23" s="171"/>
      <c r="AD23" s="171"/>
      <c r="AE23" s="25" t="s">
        <v>38</v>
      </c>
      <c r="AG23" s="171"/>
      <c r="AH23" s="171"/>
      <c r="AI23" s="171"/>
      <c r="AJ23" s="25" t="s">
        <v>39</v>
      </c>
      <c r="AV23" s="4" t="s">
        <v>82</v>
      </c>
      <c r="AW23" s="79" t="s">
        <v>90</v>
      </c>
      <c r="AY23" s="52"/>
      <c r="AZ23" s="52"/>
      <c r="BA23" s="52"/>
      <c r="BB23" s="57"/>
      <c r="BC23" s="57"/>
      <c r="BD23" s="57"/>
      <c r="BE23" s="57"/>
      <c r="BF23" s="57"/>
    </row>
    <row r="24" spans="2:58" ht="15" customHeight="1" x14ac:dyDescent="0.3">
      <c r="H24" s="2" t="s">
        <v>333</v>
      </c>
      <c r="I24" s="218">
        <f>'Form 2F.1 - Design'!J79</f>
        <v>0</v>
      </c>
      <c r="J24" s="224"/>
      <c r="K24" s="224"/>
      <c r="L24" s="25" t="s">
        <v>38</v>
      </c>
      <c r="N24" s="218">
        <f>'Form 2F.1 - Design'!O79</f>
        <v>0</v>
      </c>
      <c r="O24" s="224"/>
      <c r="P24" s="224"/>
      <c r="Q24" s="25" t="s">
        <v>39</v>
      </c>
      <c r="S24" s="71"/>
      <c r="AA24" s="2" t="s">
        <v>333</v>
      </c>
      <c r="AB24" s="171"/>
      <c r="AC24" s="171"/>
      <c r="AD24" s="171"/>
      <c r="AE24" s="25" t="s">
        <v>38</v>
      </c>
      <c r="AG24" s="171"/>
      <c r="AH24" s="171"/>
      <c r="AI24" s="171"/>
      <c r="AJ24" s="25" t="s">
        <v>39</v>
      </c>
      <c r="AW24" s="82" t="s">
        <v>98</v>
      </c>
      <c r="AX24" s="79" t="s">
        <v>91</v>
      </c>
      <c r="AY24" s="52"/>
      <c r="AZ24" s="52"/>
    </row>
    <row r="25" spans="2:58" ht="15" customHeight="1" x14ac:dyDescent="0.3">
      <c r="H25" s="2" t="s">
        <v>334</v>
      </c>
      <c r="I25" s="218">
        <f>'Form 2F.1 - Design'!J80</f>
        <v>0</v>
      </c>
      <c r="J25" s="224"/>
      <c r="K25" s="224"/>
      <c r="L25" s="25" t="s">
        <v>38</v>
      </c>
      <c r="N25" s="218">
        <f>'Form 2F.1 - Design'!O80</f>
        <v>0</v>
      </c>
      <c r="O25" s="224"/>
      <c r="P25" s="224"/>
      <c r="Q25" s="25" t="s">
        <v>39</v>
      </c>
      <c r="S25" s="71"/>
      <c r="AA25" s="2" t="s">
        <v>334</v>
      </c>
      <c r="AB25" s="171"/>
      <c r="AC25" s="171"/>
      <c r="AD25" s="171"/>
      <c r="AE25" s="25" t="s">
        <v>38</v>
      </c>
      <c r="AG25" s="171"/>
      <c r="AH25" s="171"/>
      <c r="AI25" s="171"/>
      <c r="AJ25" s="25" t="s">
        <v>39</v>
      </c>
      <c r="AW25" s="82" t="s">
        <v>98</v>
      </c>
      <c r="AX25" s="79" t="s">
        <v>84</v>
      </c>
    </row>
    <row r="26" spans="2:58" ht="4.95" customHeight="1" x14ac:dyDescent="0.3">
      <c r="S26" s="71"/>
      <c r="AI26" s="9"/>
      <c r="AJ26" s="9"/>
      <c r="AY26" s="52"/>
      <c r="AZ26" s="52"/>
    </row>
    <row r="27" spans="2:58" ht="15" customHeight="1" x14ac:dyDescent="0.3">
      <c r="E27" s="2" t="s">
        <v>381</v>
      </c>
      <c r="F27" s="157">
        <f>'Form 2F.1 - Design'!J82</f>
        <v>0</v>
      </c>
      <c r="G27" s="25" t="s">
        <v>109</v>
      </c>
      <c r="H27" s="2"/>
      <c r="I27" s="157">
        <f>'Form 2F.1 - Design'!M82</f>
        <v>0</v>
      </c>
      <c r="J27" s="25" t="s">
        <v>110</v>
      </c>
      <c r="M27" s="2" t="s">
        <v>177</v>
      </c>
      <c r="N27" s="222">
        <f>'Form 2F.1 - Design'!R82</f>
        <v>0</v>
      </c>
      <c r="O27" s="222"/>
      <c r="P27" s="222"/>
      <c r="Q27" s="222"/>
      <c r="R27" s="222"/>
      <c r="S27" s="71"/>
      <c r="X27" s="2" t="s">
        <v>381</v>
      </c>
      <c r="Y27" s="156"/>
      <c r="Z27" s="25" t="s">
        <v>109</v>
      </c>
      <c r="AA27" s="2"/>
      <c r="AB27" s="156"/>
      <c r="AC27" s="25" t="s">
        <v>110</v>
      </c>
      <c r="AF27" s="2" t="s">
        <v>177</v>
      </c>
      <c r="AG27" s="172"/>
      <c r="AH27" s="172"/>
      <c r="AI27" s="172"/>
      <c r="AJ27" s="172"/>
      <c r="AK27" s="172"/>
      <c r="AM27" s="83">
        <f>IF(AND(ISBLANK(Y27),ISBLANK(AB27)),1,2)</f>
        <v>1</v>
      </c>
      <c r="AN27" s="83">
        <f>IF(ISBLANK(Y27),1,2)</f>
        <v>1</v>
      </c>
      <c r="AW27" s="82" t="s">
        <v>98</v>
      </c>
      <c r="AX27" s="25" t="s">
        <v>85</v>
      </c>
      <c r="AY27" s="52"/>
      <c r="AZ27" s="52"/>
    </row>
    <row r="28" spans="2:58" ht="15" customHeight="1" x14ac:dyDescent="0.3">
      <c r="S28" s="71"/>
      <c r="AI28" s="9"/>
      <c r="AJ28" s="9"/>
      <c r="AW28" s="82" t="s">
        <v>98</v>
      </c>
      <c r="AX28" s="25" t="str">
        <f>Tables!F24</f>
        <v xml:space="preserve"> O&amp;M Agreement</v>
      </c>
      <c r="AZ28" s="52"/>
    </row>
    <row r="29" spans="2:58" ht="14.55" customHeight="1" x14ac:dyDescent="0.3">
      <c r="B29" s="67" t="s">
        <v>183</v>
      </c>
      <c r="I29" s="157">
        <f>'Form 2F.1 - Design'!AC84</f>
        <v>0</v>
      </c>
      <c r="J29" s="25" t="s">
        <v>384</v>
      </c>
      <c r="S29" s="71"/>
      <c r="U29" s="67" t="s">
        <v>183</v>
      </c>
      <c r="AB29" s="156"/>
      <c r="AC29" s="25" t="s">
        <v>384</v>
      </c>
      <c r="AM29" s="83">
        <f>IF(ISBLANK(AB29),1,2)</f>
        <v>1</v>
      </c>
      <c r="AU29" s="20">
        <v>4</v>
      </c>
      <c r="AV29" s="79" t="s">
        <v>78</v>
      </c>
      <c r="AZ29" s="52"/>
    </row>
    <row r="30" spans="2:58" ht="14.55" customHeight="1" x14ac:dyDescent="0.3">
      <c r="E30" s="2" t="s">
        <v>146</v>
      </c>
      <c r="F30" s="222">
        <f>'Form 2F.1 - Design'!M84</f>
        <v>0</v>
      </c>
      <c r="G30" s="222"/>
      <c r="H30" s="222"/>
      <c r="I30" s="222"/>
      <c r="S30" s="71"/>
      <c r="X30" s="2" t="s">
        <v>146</v>
      </c>
      <c r="Y30" s="172"/>
      <c r="Z30" s="172"/>
      <c r="AA30" s="172"/>
      <c r="AB30" s="172"/>
      <c r="AM30" s="83">
        <f>IF(ISBLANK(Y30),1,2)</f>
        <v>1</v>
      </c>
      <c r="AV30" s="4" t="s">
        <v>81</v>
      </c>
      <c r="AW30" s="25" t="s">
        <v>506</v>
      </c>
    </row>
    <row r="31" spans="2:58" ht="14.55" customHeight="1" x14ac:dyDescent="0.3">
      <c r="I31" s="25" t="s">
        <v>182</v>
      </c>
      <c r="N31" s="25" t="s">
        <v>37</v>
      </c>
      <c r="S31" s="71"/>
      <c r="AB31" s="25" t="s">
        <v>182</v>
      </c>
      <c r="AG31" s="25" t="s">
        <v>37</v>
      </c>
      <c r="AU31" s="25"/>
      <c r="AV31" s="4" t="s">
        <v>82</v>
      </c>
      <c r="AW31" s="25" t="s">
        <v>507</v>
      </c>
    </row>
    <row r="32" spans="2:58" ht="14.55" customHeight="1" x14ac:dyDescent="0.3">
      <c r="H32" s="2" t="s">
        <v>382</v>
      </c>
      <c r="I32" s="218">
        <f>'Form 2F.1 - Design'!W85</f>
        <v>0</v>
      </c>
      <c r="J32" s="224"/>
      <c r="K32" s="224"/>
      <c r="L32" s="25" t="s">
        <v>38</v>
      </c>
      <c r="N32" s="218">
        <f>'Form 2F.1 - Design'!M85</f>
        <v>0</v>
      </c>
      <c r="O32" s="224"/>
      <c r="P32" s="224"/>
      <c r="Q32" s="25" t="s">
        <v>39</v>
      </c>
      <c r="S32" s="71"/>
      <c r="AA32" s="2" t="s">
        <v>382</v>
      </c>
      <c r="AB32" s="177"/>
      <c r="AC32" s="177"/>
      <c r="AD32" s="177"/>
      <c r="AE32" s="25" t="s">
        <v>38</v>
      </c>
      <c r="AG32" s="177"/>
      <c r="AH32" s="177"/>
      <c r="AI32" s="177"/>
      <c r="AJ32" s="25" t="s">
        <v>39</v>
      </c>
      <c r="AV32" s="4" t="s">
        <v>95</v>
      </c>
      <c r="AW32" s="79" t="s">
        <v>547</v>
      </c>
    </row>
    <row r="33" spans="2:49" ht="14.55" customHeight="1" x14ac:dyDescent="0.3">
      <c r="H33" s="2" t="s">
        <v>383</v>
      </c>
      <c r="I33" s="219">
        <f>'Form 2F.1 - Design'!W86</f>
        <v>0</v>
      </c>
      <c r="J33" s="225"/>
      <c r="K33" s="225"/>
      <c r="L33" s="25" t="s">
        <v>38</v>
      </c>
      <c r="N33" s="219">
        <f>'Form 2F.1 - Design'!M86</f>
        <v>0</v>
      </c>
      <c r="O33" s="225"/>
      <c r="P33" s="225"/>
      <c r="Q33" s="25" t="s">
        <v>39</v>
      </c>
      <c r="S33" s="71"/>
      <c r="AA33" s="2" t="s">
        <v>383</v>
      </c>
      <c r="AB33" s="171"/>
      <c r="AC33" s="171"/>
      <c r="AD33" s="171"/>
      <c r="AE33" s="25" t="s">
        <v>38</v>
      </c>
      <c r="AG33" s="171"/>
      <c r="AH33" s="171"/>
      <c r="AI33" s="171"/>
      <c r="AJ33" s="25" t="s">
        <v>39</v>
      </c>
      <c r="AV33" s="4" t="s">
        <v>96</v>
      </c>
      <c r="AW33" s="79" t="s">
        <v>88</v>
      </c>
    </row>
    <row r="34" spans="2:49" ht="15" customHeight="1" x14ac:dyDescent="0.3">
      <c r="S34" s="71"/>
      <c r="AI34" s="9"/>
      <c r="AJ34" s="9"/>
      <c r="AV34" s="4" t="s">
        <v>94</v>
      </c>
      <c r="AW34" s="79" t="s">
        <v>508</v>
      </c>
    </row>
    <row r="35" spans="2:49" ht="14.55" customHeight="1" x14ac:dyDescent="0.3">
      <c r="B35" s="67" t="s">
        <v>339</v>
      </c>
      <c r="I35" s="157">
        <f>'Form 2F.1 - Design'!AC88</f>
        <v>0</v>
      </c>
      <c r="J35" s="25" t="s">
        <v>384</v>
      </c>
      <c r="S35" s="71"/>
      <c r="U35" s="67" t="s">
        <v>339</v>
      </c>
      <c r="AB35" s="156"/>
      <c r="AC35" s="25" t="s">
        <v>384</v>
      </c>
      <c r="AK35" s="1"/>
      <c r="AM35" s="83">
        <f>IF(ISBLANK(AB35),1,2)</f>
        <v>1</v>
      </c>
      <c r="AV35" s="4" t="s">
        <v>97</v>
      </c>
      <c r="AW35" s="25" t="s">
        <v>509</v>
      </c>
    </row>
    <row r="36" spans="2:49" ht="14.55" customHeight="1" x14ac:dyDescent="0.3">
      <c r="E36" s="2" t="s">
        <v>146</v>
      </c>
      <c r="F36" s="222">
        <f>'Form 2F.1 - Design'!M88</f>
        <v>0</v>
      </c>
      <c r="G36" s="222"/>
      <c r="H36" s="222"/>
      <c r="I36" s="222"/>
      <c r="N36" s="2" t="s">
        <v>145</v>
      </c>
      <c r="O36" s="218">
        <f>'Form 2F.1 - Design'!M89</f>
        <v>0</v>
      </c>
      <c r="P36" s="218"/>
      <c r="Q36" s="218"/>
      <c r="R36" s="25" t="s">
        <v>38</v>
      </c>
      <c r="S36" s="71"/>
      <c r="X36" s="2" t="s">
        <v>146</v>
      </c>
      <c r="Y36" s="172"/>
      <c r="Z36" s="172"/>
      <c r="AA36" s="172"/>
      <c r="AB36" s="172"/>
      <c r="AF36" s="2" t="s">
        <v>145</v>
      </c>
      <c r="AG36" s="177"/>
      <c r="AH36" s="177"/>
      <c r="AI36" s="177"/>
      <c r="AJ36" s="25" t="s">
        <v>38</v>
      </c>
      <c r="AM36" s="83">
        <f>IF(ISBLANK(Y36),1,2)</f>
        <v>1</v>
      </c>
      <c r="AU36" s="20">
        <v>5</v>
      </c>
      <c r="AV36" s="79" t="str">
        <f>"Form 3E – Permeable Pavement As-built Certification Form shall be approved by the "&amp;Tables!F23&amp;" prior to:"</f>
        <v>Form 3E – Permeable Pavement As-built Certification Form shall be approved by the City prior to:</v>
      </c>
    </row>
    <row r="37" spans="2:49" ht="14.55" customHeight="1" x14ac:dyDescent="0.3">
      <c r="E37" s="2"/>
      <c r="N37" s="2" t="s">
        <v>385</v>
      </c>
      <c r="O37" s="226">
        <f>'Form 2F.1 - Design'!W89</f>
        <v>0</v>
      </c>
      <c r="P37" s="226"/>
      <c r="Q37" s="226"/>
      <c r="R37" s="25" t="s">
        <v>181</v>
      </c>
      <c r="S37" s="71"/>
      <c r="AF37" s="2" t="s">
        <v>385</v>
      </c>
      <c r="AG37" s="204"/>
      <c r="AH37" s="204"/>
      <c r="AI37" s="204"/>
      <c r="AJ37" s="25" t="s">
        <v>181</v>
      </c>
      <c r="AU37" s="25"/>
      <c r="AV37" s="4" t="s">
        <v>81</v>
      </c>
      <c r="AW37" s="79" t="s">
        <v>93</v>
      </c>
    </row>
    <row r="38" spans="2:49" ht="14.55" customHeight="1" x14ac:dyDescent="0.3">
      <c r="E38" s="2"/>
      <c r="N38" s="2"/>
      <c r="O38" s="160"/>
      <c r="P38" s="160"/>
      <c r="Q38" s="160"/>
      <c r="S38" s="71"/>
      <c r="AU38" s="25"/>
      <c r="AV38" s="4" t="s">
        <v>82</v>
      </c>
      <c r="AW38" s="79" t="s">
        <v>89</v>
      </c>
    </row>
    <row r="39" spans="2:49" ht="14.55" customHeight="1" x14ac:dyDescent="0.3">
      <c r="B39" s="67" t="s">
        <v>199</v>
      </c>
      <c r="I39" s="157">
        <f>'Form 2F.1 - Design'!AC91</f>
        <v>0</v>
      </c>
      <c r="J39" s="25" t="s">
        <v>384</v>
      </c>
      <c r="S39" s="71"/>
      <c r="U39" s="67" t="s">
        <v>199</v>
      </c>
      <c r="AB39" s="156"/>
      <c r="AC39" s="25" t="s">
        <v>384</v>
      </c>
      <c r="AM39" s="83">
        <f>IF(ISBLANK(AB39),1,2)</f>
        <v>1</v>
      </c>
    </row>
    <row r="40" spans="2:49" ht="14.55" customHeight="1" x14ac:dyDescent="0.3">
      <c r="B40" s="67"/>
      <c r="M40" s="2" t="s">
        <v>142</v>
      </c>
      <c r="N40" s="157">
        <f>'Form 2F.1 - Design'!AE95</f>
        <v>0</v>
      </c>
      <c r="O40" s="25" t="s">
        <v>109</v>
      </c>
      <c r="P40" s="2"/>
      <c r="Q40" s="157">
        <f>'Form 2F.1 - Design'!AH95</f>
        <v>0</v>
      </c>
      <c r="R40" s="25" t="s">
        <v>110</v>
      </c>
      <c r="S40" s="71"/>
      <c r="U40" s="67"/>
      <c r="AF40" s="2" t="s">
        <v>142</v>
      </c>
      <c r="AG40" s="156"/>
      <c r="AH40" s="25" t="s">
        <v>109</v>
      </c>
      <c r="AI40" s="2"/>
      <c r="AJ40" s="156"/>
      <c r="AK40" s="25" t="s">
        <v>110</v>
      </c>
      <c r="AM40" s="83">
        <f>IF(AND(ISBLANK(AG40),ISBLANK(AJ40)),1,2)</f>
        <v>1</v>
      </c>
    </row>
    <row r="41" spans="2:49" ht="14.55" customHeight="1" x14ac:dyDescent="0.3">
      <c r="E41" s="2" t="s">
        <v>146</v>
      </c>
      <c r="F41" s="222">
        <f>'Form 2F.1 - Design'!M91</f>
        <v>0</v>
      </c>
      <c r="G41" s="222"/>
      <c r="H41" s="222"/>
      <c r="I41" s="222"/>
      <c r="N41" s="2" t="s">
        <v>147</v>
      </c>
      <c r="O41" s="222">
        <f>'Form 2F.1 - Design'!W91</f>
        <v>0</v>
      </c>
      <c r="P41" s="222"/>
      <c r="Q41" s="222"/>
      <c r="S41" s="71"/>
      <c r="X41" s="2" t="s">
        <v>146</v>
      </c>
      <c r="Y41" s="172"/>
      <c r="Z41" s="172"/>
      <c r="AA41" s="172"/>
      <c r="AB41" s="172"/>
      <c r="AG41" s="2" t="s">
        <v>147</v>
      </c>
      <c r="AH41" s="172"/>
      <c r="AI41" s="172"/>
      <c r="AJ41" s="172"/>
      <c r="AM41" s="83">
        <f>IF(ISBLANK(Y41),1,2)</f>
        <v>1</v>
      </c>
    </row>
    <row r="42" spans="2:49" ht="14.55" customHeight="1" x14ac:dyDescent="0.3">
      <c r="E42" s="2" t="s">
        <v>145</v>
      </c>
      <c r="F42" s="219">
        <f>'Form 2F.1 - Design'!M93</f>
        <v>0</v>
      </c>
      <c r="G42" s="219"/>
      <c r="H42" s="219"/>
      <c r="I42" s="25" t="s">
        <v>38</v>
      </c>
      <c r="S42" s="71"/>
      <c r="X42" s="2" t="s">
        <v>145</v>
      </c>
      <c r="Y42" s="171"/>
      <c r="Z42" s="171"/>
      <c r="AA42" s="171"/>
      <c r="AB42" s="25" t="s">
        <v>38</v>
      </c>
      <c r="AM42" s="83">
        <f>IF(ISBLANK(Y42),1,2)</f>
        <v>1</v>
      </c>
    </row>
    <row r="43" spans="2:49" ht="14.55" customHeight="1" x14ac:dyDescent="0.3">
      <c r="E43" s="2" t="s">
        <v>144</v>
      </c>
      <c r="F43" s="219">
        <f>'Form 2F.1 - Design'!W93</f>
        <v>0</v>
      </c>
      <c r="G43" s="219"/>
      <c r="H43" s="219"/>
      <c r="I43" s="25" t="s">
        <v>39</v>
      </c>
      <c r="N43" s="2" t="s">
        <v>148</v>
      </c>
      <c r="O43" s="218">
        <f>'Form 2F.1 - Design'!AF93</f>
        <v>0</v>
      </c>
      <c r="P43" s="218"/>
      <c r="Q43" s="218"/>
      <c r="R43" s="25" t="s">
        <v>39</v>
      </c>
      <c r="S43" s="71"/>
      <c r="X43" s="2" t="s">
        <v>144</v>
      </c>
      <c r="Y43" s="171"/>
      <c r="Z43" s="171"/>
      <c r="AA43" s="171"/>
      <c r="AB43" s="25" t="s">
        <v>39</v>
      </c>
      <c r="AG43" s="2" t="s">
        <v>148</v>
      </c>
      <c r="AH43" s="177"/>
      <c r="AI43" s="177"/>
      <c r="AJ43" s="177"/>
      <c r="AK43" s="25" t="s">
        <v>39</v>
      </c>
      <c r="AM43" s="83">
        <f>IF(AND(ISBLANK(Y43),ISBLANK(AH43)),1,2)</f>
        <v>1</v>
      </c>
    </row>
    <row r="44" spans="2:49" ht="14.55" customHeight="1" x14ac:dyDescent="0.3">
      <c r="E44" s="2" t="s">
        <v>211</v>
      </c>
      <c r="F44" s="219">
        <f>'Form 2F.1 - Design'!M95</f>
        <v>0</v>
      </c>
      <c r="G44" s="219"/>
      <c r="H44" s="219"/>
      <c r="I44" s="25" t="s">
        <v>39</v>
      </c>
      <c r="N44" s="2" t="s">
        <v>212</v>
      </c>
      <c r="O44" s="219">
        <f>'Form 2F.1 - Design'!W95</f>
        <v>0</v>
      </c>
      <c r="P44" s="219"/>
      <c r="Q44" s="219"/>
      <c r="R44" s="25" t="s">
        <v>39</v>
      </c>
      <c r="S44" s="71"/>
      <c r="X44" s="2" t="s">
        <v>211</v>
      </c>
      <c r="Y44" s="171"/>
      <c r="Z44" s="171"/>
      <c r="AA44" s="171"/>
      <c r="AB44" s="25" t="s">
        <v>39</v>
      </c>
      <c r="AG44" s="2" t="s">
        <v>212</v>
      </c>
      <c r="AH44" s="171"/>
      <c r="AI44" s="171"/>
      <c r="AJ44" s="171"/>
      <c r="AK44" s="25" t="s">
        <v>39</v>
      </c>
      <c r="AU44" s="25"/>
    </row>
    <row r="45" spans="2:49" ht="15" customHeight="1" x14ac:dyDescent="0.3">
      <c r="S45" s="71"/>
    </row>
    <row r="46" spans="2:49" ht="14.55" customHeight="1" x14ac:dyDescent="0.3">
      <c r="B46" s="67" t="s">
        <v>200</v>
      </c>
      <c r="E46" s="2"/>
      <c r="F46" s="2"/>
      <c r="G46" s="2"/>
      <c r="H46" s="2"/>
      <c r="I46" s="157">
        <f>'Form 2F.1 - Design'!AC97</f>
        <v>0</v>
      </c>
      <c r="J46" s="25" t="s">
        <v>384</v>
      </c>
      <c r="S46" s="71"/>
      <c r="V46" s="67" t="s">
        <v>200</v>
      </c>
      <c r="Y46" s="2"/>
      <c r="Z46" s="2"/>
      <c r="AA46" s="2"/>
      <c r="AB46" s="156"/>
      <c r="AC46" s="25" t="s">
        <v>384</v>
      </c>
      <c r="AM46" s="83">
        <f>IF(ISBLANK(AB46),1,2)</f>
        <v>1</v>
      </c>
    </row>
    <row r="47" spans="2:49" ht="14.55" customHeight="1" x14ac:dyDescent="0.3">
      <c r="E47" s="2" t="s">
        <v>146</v>
      </c>
      <c r="F47" s="222">
        <f>'Form 2F.1 - Design'!M97</f>
        <v>0</v>
      </c>
      <c r="G47" s="222"/>
      <c r="H47" s="222"/>
      <c r="I47" s="222"/>
      <c r="N47" s="2" t="s">
        <v>147</v>
      </c>
      <c r="O47" s="222">
        <f>'Form 2F.1 - Design'!W97</f>
        <v>0</v>
      </c>
      <c r="P47" s="222"/>
      <c r="Q47" s="222"/>
      <c r="S47" s="71"/>
      <c r="Y47" s="2" t="s">
        <v>146</v>
      </c>
      <c r="Z47" s="172"/>
      <c r="AA47" s="172"/>
      <c r="AB47" s="172"/>
      <c r="AC47" s="172"/>
      <c r="AG47" s="2" t="s">
        <v>147</v>
      </c>
      <c r="AH47" s="215"/>
      <c r="AI47" s="215"/>
      <c r="AJ47" s="215"/>
    </row>
    <row r="48" spans="2:49" ht="14.55" customHeight="1" x14ac:dyDescent="0.3">
      <c r="E48" s="2" t="s">
        <v>145</v>
      </c>
      <c r="F48" s="219">
        <f>'Form 2F.1 - Design'!M98</f>
        <v>0</v>
      </c>
      <c r="G48" s="219"/>
      <c r="H48" s="219"/>
      <c r="I48" s="25" t="s">
        <v>38</v>
      </c>
      <c r="N48" s="2" t="s">
        <v>189</v>
      </c>
      <c r="O48" s="219">
        <f>'Form 2F.1 - Design'!W98</f>
        <v>0</v>
      </c>
      <c r="P48" s="219"/>
      <c r="Q48" s="219"/>
      <c r="R48" s="25" t="s">
        <v>39</v>
      </c>
      <c r="S48" s="71"/>
      <c r="Y48" s="2" t="s">
        <v>145</v>
      </c>
      <c r="Z48" s="171"/>
      <c r="AA48" s="171"/>
      <c r="AB48" s="171"/>
      <c r="AC48" s="25" t="s">
        <v>38</v>
      </c>
      <c r="AG48" s="2" t="s">
        <v>189</v>
      </c>
      <c r="AH48" s="171"/>
      <c r="AI48" s="171"/>
      <c r="AJ48" s="171"/>
      <c r="AK48" s="25" t="s">
        <v>39</v>
      </c>
      <c r="AM48" s="83">
        <f>IF(ISBLANK(Z48),1,2)</f>
        <v>1</v>
      </c>
    </row>
    <row r="49" spans="1:47" ht="14.55" customHeight="1" x14ac:dyDescent="0.3">
      <c r="E49" s="2" t="s">
        <v>514</v>
      </c>
      <c r="F49" s="219">
        <f>'Form 2F.1 - Design'!M99</f>
        <v>0</v>
      </c>
      <c r="G49" s="219"/>
      <c r="H49" s="219"/>
      <c r="I49" s="25" t="s">
        <v>39</v>
      </c>
      <c r="N49" s="2" t="s">
        <v>515</v>
      </c>
      <c r="O49" s="218">
        <f>'Form 2F.1 - Design'!W99</f>
        <v>0</v>
      </c>
      <c r="P49" s="218"/>
      <c r="Q49" s="218"/>
      <c r="R49" s="25" t="s">
        <v>39</v>
      </c>
      <c r="S49" s="71"/>
      <c r="Y49" s="2" t="s">
        <v>514</v>
      </c>
      <c r="Z49" s="171"/>
      <c r="AA49" s="171"/>
      <c r="AB49" s="171"/>
      <c r="AC49" s="25" t="s">
        <v>39</v>
      </c>
      <c r="AG49" s="2" t="s">
        <v>515</v>
      </c>
      <c r="AH49" s="177"/>
      <c r="AI49" s="177"/>
      <c r="AJ49" s="177"/>
      <c r="AK49" s="25" t="s">
        <v>39</v>
      </c>
      <c r="AM49" s="83">
        <f>IF(AND(ISBLANK(Z49),ISBLANK(AH49)),1,2)</f>
        <v>1</v>
      </c>
    </row>
    <row r="50" spans="1:47" ht="15" customHeight="1" x14ac:dyDescent="0.3">
      <c r="AU50" s="25"/>
    </row>
    <row r="51" spans="1:47" ht="15" customHeight="1" x14ac:dyDescent="0.3">
      <c r="AK51" s="27"/>
      <c r="AU51" s="25"/>
    </row>
    <row r="52" spans="1:47" ht="15" customHeight="1" x14ac:dyDescent="0.3">
      <c r="B52" s="181">
        <f>Tables!$F$13</f>
        <v>46266</v>
      </c>
      <c r="C52" s="181"/>
      <c r="D52" s="181"/>
      <c r="E52" s="181"/>
      <c r="F52" s="181"/>
      <c r="G52" s="181"/>
      <c r="H52" s="181"/>
      <c r="R52" s="182" t="s">
        <v>291</v>
      </c>
      <c r="S52" s="182"/>
      <c r="T52" s="182"/>
      <c r="U52" s="182"/>
      <c r="AK52" s="27"/>
      <c r="AU52" s="25"/>
    </row>
    <row r="53" spans="1:47" ht="15" customHeight="1" x14ac:dyDescent="0.3">
      <c r="C53" s="2" t="s">
        <v>1</v>
      </c>
      <c r="D53" s="179">
        <f>IF(ISBLANK($E$7),"",$E$7)</f>
        <v>0</v>
      </c>
      <c r="E53" s="179"/>
      <c r="F53" s="179"/>
      <c r="G53" s="179"/>
      <c r="H53" s="179"/>
      <c r="I53" s="179"/>
      <c r="J53" s="179"/>
      <c r="K53" s="179"/>
      <c r="L53" s="179"/>
      <c r="M53" s="179"/>
      <c r="N53" s="179"/>
      <c r="O53" s="179"/>
      <c r="P53" s="179"/>
      <c r="Q53" s="179"/>
      <c r="R53" s="179"/>
      <c r="S53" s="179"/>
      <c r="T53" s="179"/>
      <c r="U53" s="179"/>
      <c r="V53" s="179"/>
      <c r="W53" s="179"/>
      <c r="X53" s="179"/>
      <c r="Y53" s="179"/>
      <c r="Z53" s="179"/>
      <c r="AA53" s="32"/>
      <c r="AB53" s="32"/>
      <c r="AC53" s="32"/>
      <c r="AF53" s="2" t="s">
        <v>20</v>
      </c>
      <c r="AG53" s="200">
        <f>AF7</f>
        <v>0</v>
      </c>
      <c r="AH53" s="200"/>
      <c r="AI53" s="200"/>
      <c r="AJ53" s="200"/>
      <c r="AK53" s="200"/>
      <c r="AU53" s="25"/>
    </row>
    <row r="54" spans="1:47" ht="15" customHeight="1" x14ac:dyDescent="0.3">
      <c r="H54" s="33"/>
      <c r="I54" s="33"/>
      <c r="J54" s="2"/>
      <c r="K54" s="2"/>
      <c r="L54" s="2"/>
      <c r="M54" s="33"/>
      <c r="N54" s="32"/>
      <c r="O54" s="32"/>
      <c r="P54" s="32"/>
      <c r="Q54" s="32"/>
      <c r="R54" s="32"/>
      <c r="S54" s="32"/>
      <c r="T54" s="32"/>
      <c r="U54" s="32"/>
      <c r="V54" s="32"/>
      <c r="W54" s="32"/>
      <c r="X54" s="32"/>
      <c r="Y54" s="32"/>
      <c r="Z54" s="32"/>
      <c r="AA54" s="32"/>
      <c r="AB54" s="32"/>
      <c r="AC54" s="32"/>
      <c r="AF54" s="2" t="s">
        <v>31</v>
      </c>
      <c r="AG54" s="231">
        <f>IF(ISBLANK($AF$8),"",$AF$8)</f>
        <v>0</v>
      </c>
      <c r="AH54" s="231"/>
      <c r="AI54" s="231"/>
      <c r="AJ54" s="231"/>
      <c r="AK54" s="231"/>
      <c r="AU54" s="25"/>
    </row>
    <row r="55" spans="1:47" ht="15" customHeight="1" x14ac:dyDescent="0.3">
      <c r="H55" s="33"/>
      <c r="I55" s="33"/>
      <c r="J55" s="2"/>
      <c r="K55" s="2"/>
      <c r="L55" s="2"/>
      <c r="M55" s="33"/>
      <c r="N55" s="32"/>
      <c r="O55" s="32"/>
      <c r="P55" s="32"/>
      <c r="Q55" s="32"/>
      <c r="R55" s="32"/>
      <c r="S55" s="32"/>
      <c r="T55" s="32"/>
      <c r="U55" s="32"/>
      <c r="V55" s="32"/>
      <c r="W55" s="32"/>
      <c r="X55" s="32"/>
      <c r="Y55" s="32"/>
      <c r="Z55" s="32"/>
      <c r="AA55" s="32"/>
      <c r="AB55" s="32"/>
      <c r="AC55" s="32"/>
      <c r="AU55" s="25"/>
    </row>
    <row r="56" spans="1:47" ht="15" customHeight="1" x14ac:dyDescent="0.3">
      <c r="B56" s="67" t="s">
        <v>213</v>
      </c>
      <c r="J56" s="25" t="s">
        <v>179</v>
      </c>
      <c r="O56" s="25" t="s">
        <v>213</v>
      </c>
      <c r="S56" s="71"/>
      <c r="V56" s="67" t="s">
        <v>213</v>
      </c>
      <c r="AC56" s="25" t="s">
        <v>179</v>
      </c>
      <c r="AH56" s="25" t="s">
        <v>213</v>
      </c>
      <c r="AU56" s="25"/>
    </row>
    <row r="57" spans="1:47" ht="15" customHeight="1" x14ac:dyDescent="0.3">
      <c r="I57" s="2" t="s">
        <v>214</v>
      </c>
      <c r="J57" s="218">
        <f>'Form 2F.1 - Design'!M101</f>
        <v>0</v>
      </c>
      <c r="K57" s="224"/>
      <c r="L57" s="224"/>
      <c r="M57" s="25" t="s">
        <v>38</v>
      </c>
      <c r="O57" s="218">
        <f>'Form 2F.1 - Design'!W101</f>
        <v>0</v>
      </c>
      <c r="P57" s="224"/>
      <c r="Q57" s="224"/>
      <c r="R57" s="25" t="s">
        <v>204</v>
      </c>
      <c r="T57" s="155"/>
      <c r="AB57" s="2" t="s">
        <v>214</v>
      </c>
      <c r="AC57" s="177"/>
      <c r="AD57" s="177"/>
      <c r="AE57" s="177"/>
      <c r="AF57" s="25" t="s">
        <v>38</v>
      </c>
      <c r="AH57" s="177"/>
      <c r="AI57" s="177"/>
      <c r="AJ57" s="177"/>
      <c r="AK57" s="25" t="s">
        <v>204</v>
      </c>
      <c r="AU57" s="25"/>
    </row>
    <row r="58" spans="1:47" ht="15" customHeight="1" x14ac:dyDescent="0.3">
      <c r="I58" s="2" t="s">
        <v>215</v>
      </c>
      <c r="J58" s="219">
        <f>'Form 2F.1 - Design'!M103</f>
        <v>0</v>
      </c>
      <c r="K58" s="225"/>
      <c r="L58" s="225"/>
      <c r="M58" s="25" t="s">
        <v>38</v>
      </c>
      <c r="O58" s="219">
        <f>'Form 2F.1 - Design'!W103</f>
        <v>0</v>
      </c>
      <c r="P58" s="225"/>
      <c r="Q58" s="225"/>
      <c r="R58" s="25" t="s">
        <v>204</v>
      </c>
      <c r="T58" s="155"/>
      <c r="AB58" s="2" t="s">
        <v>215</v>
      </c>
      <c r="AC58" s="171"/>
      <c r="AD58" s="171"/>
      <c r="AE58" s="171"/>
      <c r="AF58" s="25" t="s">
        <v>38</v>
      </c>
      <c r="AH58" s="171"/>
      <c r="AI58" s="171"/>
      <c r="AJ58" s="171"/>
      <c r="AK58" s="25" t="s">
        <v>204</v>
      </c>
      <c r="AU58" s="25"/>
    </row>
    <row r="59" spans="1:47" ht="15" customHeight="1" x14ac:dyDescent="0.3">
      <c r="H59" s="33"/>
      <c r="I59" s="33"/>
      <c r="J59" s="2"/>
      <c r="K59" s="2"/>
      <c r="L59" s="2"/>
      <c r="M59" s="33"/>
      <c r="N59" s="32"/>
      <c r="O59" s="32"/>
      <c r="P59" s="32"/>
      <c r="Q59" s="32"/>
      <c r="R59" s="32"/>
      <c r="S59" s="32"/>
      <c r="T59" s="32"/>
      <c r="U59" s="32"/>
      <c r="V59" s="32"/>
      <c r="W59" s="32"/>
      <c r="X59" s="32"/>
      <c r="Y59" s="32"/>
      <c r="Z59" s="32"/>
      <c r="AA59" s="32"/>
      <c r="AB59" s="32"/>
      <c r="AC59" s="32"/>
      <c r="AU59" s="25"/>
    </row>
    <row r="60" spans="1:47" s="5" customFormat="1" ht="15" customHeight="1" x14ac:dyDescent="0.3">
      <c r="A60" s="221" t="s">
        <v>14</v>
      </c>
      <c r="B60" s="221"/>
      <c r="C60" s="221"/>
      <c r="D60" s="221"/>
      <c r="E60" s="221"/>
      <c r="F60" s="221"/>
      <c r="G60" s="221"/>
      <c r="H60" s="221"/>
      <c r="I60" s="221"/>
      <c r="J60" s="221"/>
      <c r="K60" s="221"/>
      <c r="L60" s="221"/>
      <c r="M60" s="221"/>
      <c r="N60" s="221"/>
      <c r="O60" s="221"/>
      <c r="P60" s="221"/>
      <c r="Q60" s="221"/>
      <c r="R60" s="221"/>
      <c r="S60" s="221"/>
      <c r="T60" s="221"/>
      <c r="U60" s="221"/>
      <c r="V60" s="221"/>
      <c r="W60" s="221"/>
      <c r="X60" s="221"/>
      <c r="Y60" s="221"/>
      <c r="Z60" s="221"/>
      <c r="AA60" s="221"/>
      <c r="AB60" s="221"/>
      <c r="AC60" s="221"/>
      <c r="AD60" s="221"/>
      <c r="AE60" s="221"/>
      <c r="AF60" s="221"/>
      <c r="AG60" s="221"/>
      <c r="AH60" s="221"/>
      <c r="AI60" s="221"/>
      <c r="AJ60" s="221"/>
      <c r="AK60" s="221"/>
      <c r="AL60" s="221"/>
      <c r="AM60" s="90"/>
      <c r="AN60" s="85"/>
      <c r="AO60" s="90"/>
      <c r="AP60" s="85"/>
      <c r="AQ60" s="85"/>
      <c r="AR60" s="85"/>
      <c r="AS60" s="19"/>
    </row>
    <row r="61" spans="1:47" ht="15" customHeight="1" x14ac:dyDescent="0.3">
      <c r="A61" s="1" t="s">
        <v>49</v>
      </c>
      <c r="C61" s="1"/>
      <c r="D61" s="1"/>
      <c r="E61" s="1"/>
      <c r="F61" s="1"/>
      <c r="H61" s="28" t="s">
        <v>40</v>
      </c>
      <c r="I61" s="227">
        <f>'Form 2F.1 - Design'!O120</f>
        <v>0</v>
      </c>
      <c r="J61" s="227"/>
      <c r="K61" s="227"/>
      <c r="L61" s="227"/>
      <c r="O61" s="55"/>
      <c r="P61" s="55"/>
      <c r="Q61" s="1"/>
      <c r="R61" s="1"/>
      <c r="S61" s="1"/>
      <c r="T61" s="71"/>
      <c r="U61" s="1" t="s">
        <v>50</v>
      </c>
      <c r="W61" s="1"/>
      <c r="X61" s="1"/>
      <c r="Y61" s="29"/>
      <c r="AA61" s="28"/>
      <c r="AC61" s="28" t="s">
        <v>40</v>
      </c>
      <c r="AD61" s="196"/>
      <c r="AE61" s="196"/>
      <c r="AF61" s="196"/>
      <c r="AG61" s="196"/>
      <c r="AH61" s="29"/>
      <c r="AI61" s="29"/>
      <c r="AJ61" s="29"/>
      <c r="AK61" s="29"/>
      <c r="AM61" s="62" t="s">
        <v>128</v>
      </c>
      <c r="AN61" s="83">
        <f>IF(ISBLANK(AD61),0,1)</f>
        <v>0</v>
      </c>
      <c r="AO61" s="62" t="s">
        <v>130</v>
      </c>
      <c r="AP61" s="83">
        <f>SUM(AN61:AN62)</f>
        <v>0</v>
      </c>
      <c r="AR61" s="62" t="s">
        <v>360</v>
      </c>
      <c r="AS61" s="83">
        <f>IF(ISBLANK(AD61),1,IF(ISTEXT(AD61)=TRUE,3,2))</f>
        <v>1</v>
      </c>
      <c r="AU61" s="25"/>
    </row>
    <row r="62" spans="1:47" ht="15" customHeight="1" x14ac:dyDescent="0.3">
      <c r="B62" s="1"/>
      <c r="C62" s="1"/>
      <c r="D62" s="1"/>
      <c r="E62" s="1"/>
      <c r="F62" s="1"/>
      <c r="H62" s="2" t="s">
        <v>41</v>
      </c>
      <c r="I62" s="228">
        <f>'Form 2F.1 - Design'!W120</f>
        <v>0</v>
      </c>
      <c r="J62" s="228"/>
      <c r="K62" s="228"/>
      <c r="L62" s="228"/>
      <c r="O62" s="55"/>
      <c r="P62" s="55"/>
      <c r="Q62" s="30"/>
      <c r="T62" s="71"/>
      <c r="AA62" s="2"/>
      <c r="AC62" s="2" t="s">
        <v>41</v>
      </c>
      <c r="AD62" s="244"/>
      <c r="AE62" s="244"/>
      <c r="AF62" s="244"/>
      <c r="AG62" s="244"/>
      <c r="AM62" s="62" t="s">
        <v>129</v>
      </c>
      <c r="AN62" s="83">
        <f>IF(ISBLANK(AD62),0,1)</f>
        <v>0</v>
      </c>
      <c r="AR62" s="62" t="s">
        <v>361</v>
      </c>
      <c r="AS62" s="83">
        <f>IF(ISBLANK(AD62),1,IF(ISTEXT(AD62)=TRUE,3,2))</f>
        <v>1</v>
      </c>
      <c r="AU62" s="25"/>
    </row>
    <row r="63" spans="1:47" ht="15" customHeight="1" x14ac:dyDescent="0.3">
      <c r="B63" s="1"/>
      <c r="C63" s="1"/>
      <c r="D63" s="1"/>
      <c r="E63" s="1"/>
      <c r="F63" s="1"/>
      <c r="G63" s="1"/>
      <c r="J63" s="2"/>
      <c r="K63" s="2"/>
      <c r="L63" s="2"/>
      <c r="M63" s="30"/>
      <c r="N63" s="30"/>
      <c r="O63" s="30"/>
      <c r="P63" s="30"/>
      <c r="Q63" s="30"/>
      <c r="U63" s="2"/>
      <c r="Z63" s="2"/>
      <c r="AA63" s="2"/>
      <c r="AB63" s="2"/>
      <c r="AC63" s="30"/>
      <c r="AD63" s="30"/>
      <c r="AE63" s="30"/>
      <c r="AF63" s="30"/>
      <c r="AU63" s="25"/>
    </row>
    <row r="64" spans="1:47" ht="15" customHeight="1" x14ac:dyDescent="0.3">
      <c r="A64" s="221" t="s">
        <v>410</v>
      </c>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c r="AG64" s="221"/>
      <c r="AH64" s="221"/>
      <c r="AI64" s="221"/>
      <c r="AJ64" s="221"/>
      <c r="AK64" s="221"/>
      <c r="AL64" s="221"/>
      <c r="AM64" s="10"/>
      <c r="AN64" s="49"/>
      <c r="AU64" s="25"/>
    </row>
    <row r="65" spans="1:47" ht="15" customHeight="1" x14ac:dyDescent="0.3">
      <c r="B65" s="1" t="s">
        <v>49</v>
      </c>
      <c r="C65" s="1"/>
      <c r="D65" s="1"/>
      <c r="E65" s="1"/>
      <c r="G65" s="2" t="s">
        <v>177</v>
      </c>
      <c r="H65" s="222">
        <f>'Form 2F.1 - Design'!F124</f>
        <v>0</v>
      </c>
      <c r="I65" s="222"/>
      <c r="J65" s="222"/>
      <c r="K65" s="222"/>
      <c r="L65" s="222"/>
      <c r="M65" s="222"/>
      <c r="N65" s="222"/>
      <c r="O65" s="222"/>
      <c r="P65" s="222"/>
      <c r="Q65" s="30"/>
      <c r="R65" s="30"/>
      <c r="S65" s="30"/>
      <c r="T65" s="125"/>
      <c r="U65" s="1" t="s">
        <v>50</v>
      </c>
      <c r="W65" s="1"/>
      <c r="X65" s="1"/>
      <c r="Z65" s="2" t="s">
        <v>177</v>
      </c>
      <c r="AA65" s="172"/>
      <c r="AB65" s="172"/>
      <c r="AC65" s="172"/>
      <c r="AD65" s="172"/>
      <c r="AE65" s="172"/>
      <c r="AF65" s="172"/>
      <c r="AG65" s="172"/>
      <c r="AH65" s="172"/>
      <c r="AI65" s="172"/>
      <c r="AJ65" s="30"/>
      <c r="AK65" s="30"/>
      <c r="AL65" s="30"/>
      <c r="AM65" s="83">
        <f>IF(ISBLANK(AA65),1,0)</f>
        <v>1</v>
      </c>
      <c r="AN65" s="49"/>
      <c r="AU65" s="25"/>
    </row>
    <row r="66" spans="1:47" ht="15" customHeight="1" x14ac:dyDescent="0.3">
      <c r="B66" s="1"/>
      <c r="C66" s="1"/>
      <c r="D66" s="2" t="s">
        <v>148</v>
      </c>
      <c r="E66" s="229">
        <f>'Form 2F.1 - Design'!F126</f>
        <v>0</v>
      </c>
      <c r="F66" s="229"/>
      <c r="G66" s="229"/>
      <c r="H66" s="25" t="s">
        <v>39</v>
      </c>
      <c r="K66" s="2" t="s">
        <v>144</v>
      </c>
      <c r="L66" s="230">
        <f>'Form 2F.1 - Design'!M126</f>
        <v>0</v>
      </c>
      <c r="M66" s="230"/>
      <c r="N66" s="230"/>
      <c r="O66" s="25" t="s">
        <v>39</v>
      </c>
      <c r="T66" s="126"/>
      <c r="U66" s="2"/>
      <c r="W66" s="2" t="s">
        <v>148</v>
      </c>
      <c r="X66" s="173"/>
      <c r="Y66" s="173"/>
      <c r="Z66" s="173"/>
      <c r="AA66" s="25" t="s">
        <v>39</v>
      </c>
      <c r="AD66" s="2" t="s">
        <v>144</v>
      </c>
      <c r="AE66" s="167"/>
      <c r="AF66" s="167"/>
      <c r="AG66" s="167"/>
      <c r="AH66" s="25" t="s">
        <v>39</v>
      </c>
      <c r="AM66" s="83">
        <f>IF(ISBLANK(X66),1,0)</f>
        <v>1</v>
      </c>
      <c r="AN66" s="83">
        <f>IF(ISBLANK(AE66),1,0)</f>
        <v>1</v>
      </c>
      <c r="AU66" s="25"/>
    </row>
    <row r="67" spans="1:47" ht="4.95" customHeight="1" x14ac:dyDescent="0.3">
      <c r="B67" s="1"/>
      <c r="C67" s="1"/>
      <c r="D67" s="2"/>
      <c r="E67" s="26"/>
      <c r="F67" s="26"/>
      <c r="K67" s="2"/>
      <c r="L67" s="26"/>
      <c r="M67" s="26"/>
      <c r="T67" s="126"/>
      <c r="U67" s="2"/>
      <c r="W67" s="2"/>
      <c r="X67" s="26"/>
      <c r="Y67" s="26"/>
      <c r="AD67" s="2"/>
      <c r="AE67" s="26"/>
      <c r="AF67" s="26"/>
      <c r="AM67" s="10"/>
      <c r="AN67" s="49"/>
      <c r="AU67" s="25"/>
    </row>
    <row r="68" spans="1:47" ht="15" customHeight="1" x14ac:dyDescent="0.3">
      <c r="B68" s="1"/>
      <c r="C68" s="1"/>
      <c r="D68" s="2" t="s">
        <v>202</v>
      </c>
      <c r="E68" s="218">
        <f>'Form 2F.1 - Design'!V126</f>
        <v>0</v>
      </c>
      <c r="F68" s="218"/>
      <c r="G68" s="25" t="s">
        <v>39</v>
      </c>
      <c r="L68" s="2" t="s">
        <v>381</v>
      </c>
      <c r="M68" s="157">
        <f>'Form 2F.1 - Design'!AF126</f>
        <v>0</v>
      </c>
      <c r="N68" s="25" t="s">
        <v>109</v>
      </c>
      <c r="P68" s="157">
        <f>'Form 2F.1 - Design'!AI126</f>
        <v>0</v>
      </c>
      <c r="Q68" s="30" t="s">
        <v>127</v>
      </c>
      <c r="T68" s="126"/>
      <c r="W68" s="2" t="s">
        <v>202</v>
      </c>
      <c r="X68" s="177"/>
      <c r="Y68" s="177"/>
      <c r="Z68" s="25" t="s">
        <v>39</v>
      </c>
      <c r="AE68" s="2" t="s">
        <v>381</v>
      </c>
      <c r="AF68" s="156"/>
      <c r="AG68" s="25" t="s">
        <v>109</v>
      </c>
      <c r="AI68" s="156"/>
      <c r="AJ68" s="30" t="s">
        <v>127</v>
      </c>
      <c r="AM68" s="83">
        <f>IF(ISBLANK(X68),1,0)</f>
        <v>1</v>
      </c>
      <c r="AN68" s="83">
        <f>IF(AND(ISBLANK(AF68),ISBLANK(AI68)),1,0)</f>
        <v>1</v>
      </c>
      <c r="AO68" s="83">
        <f>IF(ISBLANK(AI68),1,2)</f>
        <v>1</v>
      </c>
      <c r="AU68" s="25"/>
    </row>
    <row r="69" spans="1:47" ht="15" customHeight="1" x14ac:dyDescent="0.3">
      <c r="B69" s="1"/>
      <c r="C69" s="1"/>
      <c r="D69" s="1"/>
      <c r="E69" s="1"/>
      <c r="F69" s="1"/>
      <c r="G69" s="1"/>
      <c r="J69" s="2"/>
      <c r="K69" s="2"/>
      <c r="L69" s="2"/>
      <c r="M69" s="30"/>
      <c r="N69" s="30"/>
      <c r="O69" s="30"/>
      <c r="P69" s="30"/>
      <c r="Q69" s="30"/>
      <c r="U69" s="2"/>
      <c r="Z69" s="2"/>
      <c r="AA69" s="2"/>
      <c r="AB69" s="2"/>
      <c r="AC69" s="30"/>
      <c r="AD69" s="30"/>
      <c r="AE69" s="30"/>
      <c r="AF69" s="30"/>
      <c r="AU69" s="25"/>
    </row>
    <row r="70" spans="1:47" ht="15" customHeight="1" x14ac:dyDescent="0.3">
      <c r="A70" s="235" t="s">
        <v>15</v>
      </c>
      <c r="B70" s="235"/>
      <c r="C70" s="235"/>
      <c r="D70" s="235"/>
      <c r="E70" s="235"/>
      <c r="F70" s="235"/>
      <c r="G70" s="235"/>
      <c r="H70" s="235"/>
      <c r="I70" s="235"/>
      <c r="J70" s="235"/>
      <c r="K70" s="235"/>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85"/>
      <c r="AU70" s="25"/>
    </row>
    <row r="71" spans="1:47" ht="15" customHeight="1" x14ac:dyDescent="0.3">
      <c r="A71" s="1" t="s">
        <v>49</v>
      </c>
      <c r="C71" s="1"/>
      <c r="D71" s="1"/>
      <c r="E71" s="1"/>
      <c r="F71" s="1"/>
      <c r="H71" s="1"/>
      <c r="T71" s="71"/>
      <c r="U71" s="1" t="s">
        <v>50</v>
      </c>
      <c r="X71" s="1"/>
      <c r="Y71" s="1"/>
      <c r="AU71" s="25"/>
    </row>
    <row r="72" spans="1:47" ht="15" customHeight="1" x14ac:dyDescent="0.3">
      <c r="C72" s="4" t="s">
        <v>16</v>
      </c>
      <c r="G72" s="182" t="s">
        <v>17</v>
      </c>
      <c r="H72" s="182"/>
      <c r="I72" s="182"/>
      <c r="J72" s="182"/>
      <c r="K72" s="4"/>
      <c r="M72" s="25" t="s">
        <v>43</v>
      </c>
      <c r="T72" s="71"/>
      <c r="U72" s="2"/>
      <c r="W72" s="4" t="s">
        <v>16</v>
      </c>
      <c r="X72" s="4"/>
      <c r="Y72" s="4"/>
      <c r="AA72" s="182" t="s">
        <v>17</v>
      </c>
      <c r="AB72" s="182"/>
      <c r="AC72" s="182"/>
      <c r="AD72" s="182"/>
      <c r="AG72" s="25" t="s">
        <v>43</v>
      </c>
      <c r="AU72" s="25"/>
    </row>
    <row r="73" spans="1:47" ht="15" customHeight="1" x14ac:dyDescent="0.3">
      <c r="B73" s="218">
        <f>'Form 2F.1 - Design'!C111</f>
        <v>0</v>
      </c>
      <c r="C73" s="218"/>
      <c r="D73" s="218"/>
      <c r="E73" s="25" t="s">
        <v>39</v>
      </c>
      <c r="G73" s="220">
        <f>'Form 2F.1 - Design'!H111</f>
        <v>0</v>
      </c>
      <c r="H73" s="220"/>
      <c r="I73" s="220"/>
      <c r="J73" s="220"/>
      <c r="K73" s="25" t="s">
        <v>36</v>
      </c>
      <c r="M73" s="220">
        <f>'Form 2F.1 - Design'!M111</f>
        <v>0</v>
      </c>
      <c r="N73" s="220"/>
      <c r="O73" s="220"/>
      <c r="P73" s="220"/>
      <c r="Q73" s="25" t="s">
        <v>34</v>
      </c>
      <c r="T73" s="71"/>
      <c r="U73" s="2"/>
      <c r="V73" s="177"/>
      <c r="W73" s="177"/>
      <c r="X73" s="177"/>
      <c r="Y73" s="25" t="s">
        <v>39</v>
      </c>
      <c r="AA73" s="198"/>
      <c r="AB73" s="198"/>
      <c r="AC73" s="198"/>
      <c r="AD73" s="198"/>
      <c r="AE73" s="25" t="s">
        <v>36</v>
      </c>
      <c r="AG73" s="198"/>
      <c r="AH73" s="198"/>
      <c r="AI73" s="198"/>
      <c r="AJ73" s="198"/>
      <c r="AK73" s="25" t="s">
        <v>34</v>
      </c>
      <c r="AM73" s="83">
        <f>IF(ISBLANK(AA73),0,1)</f>
        <v>0</v>
      </c>
      <c r="AN73" s="83">
        <f>IF(ISBLANK(AG73),0,1)</f>
        <v>0</v>
      </c>
      <c r="AP73" s="83">
        <f t="shared" ref="AP73:AP86" si="0">IF(ISBLANK(V73),1,2)</f>
        <v>1</v>
      </c>
      <c r="AU73" s="25"/>
    </row>
    <row r="74" spans="1:47" ht="15" customHeight="1" x14ac:dyDescent="0.3">
      <c r="B74" s="219">
        <f>'Form 2F.1 - Design'!C112</f>
        <v>0</v>
      </c>
      <c r="C74" s="219"/>
      <c r="D74" s="219"/>
      <c r="E74" s="25" t="s">
        <v>39</v>
      </c>
      <c r="G74" s="223">
        <f>'Form 2F.1 - Design'!H112</f>
        <v>0</v>
      </c>
      <c r="H74" s="223"/>
      <c r="I74" s="223"/>
      <c r="J74" s="223"/>
      <c r="K74" s="25" t="s">
        <v>36</v>
      </c>
      <c r="M74" s="220">
        <f>'Form 2F.1 - Design'!M112</f>
        <v>0</v>
      </c>
      <c r="N74" s="220"/>
      <c r="O74" s="220"/>
      <c r="P74" s="220"/>
      <c r="Q74" s="25" t="s">
        <v>34</v>
      </c>
      <c r="T74" s="71"/>
      <c r="U74" s="2"/>
      <c r="V74" s="171"/>
      <c r="W74" s="171"/>
      <c r="X74" s="171"/>
      <c r="Y74" s="25" t="s">
        <v>39</v>
      </c>
      <c r="AA74" s="176"/>
      <c r="AB74" s="176"/>
      <c r="AC74" s="176"/>
      <c r="AD74" s="176"/>
      <c r="AE74" s="25" t="s">
        <v>36</v>
      </c>
      <c r="AG74" s="176"/>
      <c r="AH74" s="176"/>
      <c r="AI74" s="176"/>
      <c r="AJ74" s="176"/>
      <c r="AK74" s="25" t="s">
        <v>34</v>
      </c>
      <c r="AP74" s="83">
        <f t="shared" si="0"/>
        <v>1</v>
      </c>
      <c r="AU74" s="25"/>
    </row>
    <row r="75" spans="1:47" ht="15" customHeight="1" x14ac:dyDescent="0.3">
      <c r="B75" s="219">
        <f>'Form 2F.1 - Design'!C113</f>
        <v>0</v>
      </c>
      <c r="C75" s="219"/>
      <c r="D75" s="219"/>
      <c r="E75" s="25" t="s">
        <v>39</v>
      </c>
      <c r="G75" s="223">
        <f>'Form 2F.1 - Design'!H113</f>
        <v>0</v>
      </c>
      <c r="H75" s="223"/>
      <c r="I75" s="223"/>
      <c r="J75" s="223"/>
      <c r="K75" s="25" t="s">
        <v>36</v>
      </c>
      <c r="M75" s="220">
        <f>'Form 2F.1 - Design'!M113</f>
        <v>0</v>
      </c>
      <c r="N75" s="220"/>
      <c r="O75" s="220"/>
      <c r="P75" s="220"/>
      <c r="Q75" s="25" t="s">
        <v>34</v>
      </c>
      <c r="T75" s="71"/>
      <c r="U75" s="2"/>
      <c r="V75" s="171"/>
      <c r="W75" s="171"/>
      <c r="X75" s="171"/>
      <c r="Y75" s="25" t="s">
        <v>39</v>
      </c>
      <c r="AA75" s="176"/>
      <c r="AB75" s="176"/>
      <c r="AC75" s="176"/>
      <c r="AD75" s="176"/>
      <c r="AE75" s="25" t="s">
        <v>36</v>
      </c>
      <c r="AG75" s="176"/>
      <c r="AH75" s="176"/>
      <c r="AI75" s="176"/>
      <c r="AJ75" s="176"/>
      <c r="AK75" s="25" t="s">
        <v>34</v>
      </c>
      <c r="AP75" s="83">
        <f t="shared" si="0"/>
        <v>1</v>
      </c>
      <c r="AU75" s="25"/>
    </row>
    <row r="76" spans="1:47" ht="15" customHeight="1" x14ac:dyDescent="0.3">
      <c r="B76" s="219">
        <f>'Form 2F.1 - Design'!C114</f>
        <v>0</v>
      </c>
      <c r="C76" s="219"/>
      <c r="D76" s="219"/>
      <c r="E76" s="25" t="s">
        <v>39</v>
      </c>
      <c r="G76" s="223">
        <f>'Form 2F.1 - Design'!H114</f>
        <v>0</v>
      </c>
      <c r="H76" s="223"/>
      <c r="I76" s="223"/>
      <c r="J76" s="223"/>
      <c r="K76" s="25" t="s">
        <v>36</v>
      </c>
      <c r="M76" s="220">
        <f>'Form 2F.1 - Design'!M114</f>
        <v>0</v>
      </c>
      <c r="N76" s="220"/>
      <c r="O76" s="220"/>
      <c r="P76" s="220"/>
      <c r="Q76" s="25" t="s">
        <v>34</v>
      </c>
      <c r="T76" s="71"/>
      <c r="U76" s="2"/>
      <c r="V76" s="171"/>
      <c r="W76" s="171"/>
      <c r="X76" s="171"/>
      <c r="Y76" s="25" t="s">
        <v>39</v>
      </c>
      <c r="AA76" s="176"/>
      <c r="AB76" s="176"/>
      <c r="AC76" s="176"/>
      <c r="AD76" s="176"/>
      <c r="AE76" s="25" t="s">
        <v>36</v>
      </c>
      <c r="AG76" s="176"/>
      <c r="AH76" s="176"/>
      <c r="AI76" s="176"/>
      <c r="AJ76" s="176"/>
      <c r="AK76" s="25" t="s">
        <v>34</v>
      </c>
      <c r="AP76" s="83">
        <f t="shared" si="0"/>
        <v>1</v>
      </c>
      <c r="AU76" s="25"/>
    </row>
    <row r="77" spans="1:47" ht="15" customHeight="1" x14ac:dyDescent="0.3">
      <c r="B77" s="219">
        <f>'Form 2F.1 - Design'!C115</f>
        <v>0</v>
      </c>
      <c r="C77" s="219"/>
      <c r="D77" s="219"/>
      <c r="E77" s="25" t="s">
        <v>39</v>
      </c>
      <c r="G77" s="223">
        <f>'Form 2F.1 - Design'!H115</f>
        <v>0</v>
      </c>
      <c r="H77" s="223"/>
      <c r="I77" s="223"/>
      <c r="J77" s="223"/>
      <c r="K77" s="25" t="s">
        <v>36</v>
      </c>
      <c r="M77" s="220">
        <f>'Form 2F.1 - Design'!M115</f>
        <v>0</v>
      </c>
      <c r="N77" s="220"/>
      <c r="O77" s="220"/>
      <c r="P77" s="220"/>
      <c r="Q77" s="25" t="s">
        <v>34</v>
      </c>
      <c r="T77" s="71"/>
      <c r="U77" s="2"/>
      <c r="V77" s="171"/>
      <c r="W77" s="171"/>
      <c r="X77" s="171"/>
      <c r="Y77" s="25" t="s">
        <v>39</v>
      </c>
      <c r="AA77" s="176"/>
      <c r="AB77" s="176"/>
      <c r="AC77" s="176"/>
      <c r="AD77" s="176"/>
      <c r="AE77" s="25" t="s">
        <v>36</v>
      </c>
      <c r="AG77" s="176"/>
      <c r="AH77" s="176"/>
      <c r="AI77" s="176"/>
      <c r="AJ77" s="176"/>
      <c r="AK77" s="25" t="s">
        <v>34</v>
      </c>
      <c r="AP77" s="83">
        <f t="shared" si="0"/>
        <v>1</v>
      </c>
      <c r="AU77" s="25"/>
    </row>
    <row r="78" spans="1:47" ht="15" customHeight="1" x14ac:dyDescent="0.3">
      <c r="B78" s="219">
        <f>'Form 2F.1 - Design'!C116</f>
        <v>0</v>
      </c>
      <c r="C78" s="219"/>
      <c r="D78" s="219"/>
      <c r="E78" s="25" t="s">
        <v>39</v>
      </c>
      <c r="G78" s="223">
        <f>'Form 2F.1 - Design'!H116</f>
        <v>0</v>
      </c>
      <c r="H78" s="223"/>
      <c r="I78" s="223"/>
      <c r="J78" s="223"/>
      <c r="K78" s="25" t="s">
        <v>36</v>
      </c>
      <c r="M78" s="220">
        <f>'Form 2F.1 - Design'!M116</f>
        <v>0</v>
      </c>
      <c r="N78" s="220"/>
      <c r="O78" s="220"/>
      <c r="P78" s="220"/>
      <c r="Q78" s="25" t="s">
        <v>34</v>
      </c>
      <c r="T78" s="71"/>
      <c r="U78" s="2"/>
      <c r="V78" s="171"/>
      <c r="W78" s="171"/>
      <c r="X78" s="171"/>
      <c r="Y78" s="25" t="s">
        <v>39</v>
      </c>
      <c r="AA78" s="176"/>
      <c r="AB78" s="176"/>
      <c r="AC78" s="176"/>
      <c r="AD78" s="176"/>
      <c r="AE78" s="25" t="s">
        <v>36</v>
      </c>
      <c r="AG78" s="176"/>
      <c r="AH78" s="176"/>
      <c r="AI78" s="176"/>
      <c r="AJ78" s="176"/>
      <c r="AK78" s="25" t="s">
        <v>34</v>
      </c>
      <c r="AP78" s="83">
        <f t="shared" si="0"/>
        <v>1</v>
      </c>
      <c r="AU78" s="25"/>
    </row>
    <row r="79" spans="1:47" ht="15" customHeight="1" x14ac:dyDescent="0.3">
      <c r="B79" s="219">
        <f>'Form 2F.1 - Design'!C117</f>
        <v>0</v>
      </c>
      <c r="C79" s="219"/>
      <c r="D79" s="219"/>
      <c r="E79" s="25" t="s">
        <v>39</v>
      </c>
      <c r="G79" s="223">
        <f>'Form 2F.1 - Design'!H117</f>
        <v>0</v>
      </c>
      <c r="H79" s="223"/>
      <c r="I79" s="223"/>
      <c r="J79" s="223"/>
      <c r="K79" s="25" t="s">
        <v>36</v>
      </c>
      <c r="M79" s="220">
        <f>'Form 2F.1 - Design'!M117</f>
        <v>0</v>
      </c>
      <c r="N79" s="220"/>
      <c r="O79" s="220"/>
      <c r="P79" s="220"/>
      <c r="Q79" s="25" t="s">
        <v>34</v>
      </c>
      <c r="T79" s="71"/>
      <c r="U79" s="2"/>
      <c r="V79" s="171"/>
      <c r="W79" s="171"/>
      <c r="X79" s="171"/>
      <c r="Y79" s="25" t="s">
        <v>39</v>
      </c>
      <c r="AA79" s="176"/>
      <c r="AB79" s="176"/>
      <c r="AC79" s="176"/>
      <c r="AD79" s="176"/>
      <c r="AE79" s="25" t="s">
        <v>36</v>
      </c>
      <c r="AG79" s="176"/>
      <c r="AH79" s="176"/>
      <c r="AI79" s="176"/>
      <c r="AJ79" s="176"/>
      <c r="AK79" s="25" t="s">
        <v>34</v>
      </c>
      <c r="AP79" s="83">
        <f t="shared" si="0"/>
        <v>1</v>
      </c>
      <c r="AU79" s="25"/>
    </row>
    <row r="80" spans="1:47" ht="15" customHeight="1" x14ac:dyDescent="0.3">
      <c r="B80" s="219">
        <f>'Form 2F.1 - Design'!S111</f>
        <v>0</v>
      </c>
      <c r="C80" s="219"/>
      <c r="D80" s="219"/>
      <c r="E80" s="25" t="s">
        <v>39</v>
      </c>
      <c r="G80" s="223">
        <f>'Form 2F.1 - Design'!X111</f>
        <v>0</v>
      </c>
      <c r="H80" s="223"/>
      <c r="I80" s="223"/>
      <c r="J80" s="223"/>
      <c r="K80" s="25" t="s">
        <v>36</v>
      </c>
      <c r="M80" s="220">
        <f>'Form 2F.1 - Design'!AC111</f>
        <v>0</v>
      </c>
      <c r="N80" s="220"/>
      <c r="O80" s="220"/>
      <c r="P80" s="220"/>
      <c r="Q80" s="25" t="s">
        <v>34</v>
      </c>
      <c r="T80" s="71"/>
      <c r="U80" s="2"/>
      <c r="V80" s="171"/>
      <c r="W80" s="171"/>
      <c r="X80" s="171"/>
      <c r="Y80" s="25" t="s">
        <v>39</v>
      </c>
      <c r="AA80" s="176"/>
      <c r="AB80" s="176"/>
      <c r="AC80" s="176"/>
      <c r="AD80" s="176"/>
      <c r="AE80" s="25" t="s">
        <v>36</v>
      </c>
      <c r="AG80" s="176"/>
      <c r="AH80" s="176"/>
      <c r="AI80" s="176"/>
      <c r="AJ80" s="176"/>
      <c r="AK80" s="25" t="s">
        <v>34</v>
      </c>
      <c r="AP80" s="83">
        <f t="shared" si="0"/>
        <v>1</v>
      </c>
      <c r="AU80" s="25"/>
    </row>
    <row r="81" spans="1:47" ht="15" customHeight="1" x14ac:dyDescent="0.3">
      <c r="B81" s="219">
        <f>'Form 2F.1 - Design'!S112</f>
        <v>0</v>
      </c>
      <c r="C81" s="219"/>
      <c r="D81" s="219"/>
      <c r="E81" s="25" t="s">
        <v>39</v>
      </c>
      <c r="G81" s="223">
        <f>'Form 2F.1 - Design'!X112</f>
        <v>0</v>
      </c>
      <c r="H81" s="223"/>
      <c r="I81" s="223"/>
      <c r="J81" s="223"/>
      <c r="K81" s="25" t="s">
        <v>36</v>
      </c>
      <c r="M81" s="220">
        <f>'Form 2F.1 - Design'!AC112</f>
        <v>0</v>
      </c>
      <c r="N81" s="220"/>
      <c r="O81" s="220"/>
      <c r="P81" s="220"/>
      <c r="Q81" s="25" t="s">
        <v>34</v>
      </c>
      <c r="T81" s="71"/>
      <c r="U81" s="2"/>
      <c r="V81" s="171"/>
      <c r="W81" s="171"/>
      <c r="X81" s="171"/>
      <c r="Y81" s="25" t="s">
        <v>39</v>
      </c>
      <c r="AA81" s="176"/>
      <c r="AB81" s="176"/>
      <c r="AC81" s="176"/>
      <c r="AD81" s="176"/>
      <c r="AE81" s="25" t="s">
        <v>36</v>
      </c>
      <c r="AG81" s="176"/>
      <c r="AH81" s="176"/>
      <c r="AI81" s="176"/>
      <c r="AJ81" s="176"/>
      <c r="AK81" s="25" t="s">
        <v>34</v>
      </c>
      <c r="AP81" s="83">
        <f t="shared" si="0"/>
        <v>1</v>
      </c>
      <c r="AU81" s="25"/>
    </row>
    <row r="82" spans="1:47" ht="15" customHeight="1" x14ac:dyDescent="0.3">
      <c r="B82" s="219">
        <f>'Form 2F.1 - Design'!S113</f>
        <v>0</v>
      </c>
      <c r="C82" s="219"/>
      <c r="D82" s="219"/>
      <c r="E82" s="25" t="s">
        <v>39</v>
      </c>
      <c r="G82" s="223">
        <f>'Form 2F.1 - Design'!X113</f>
        <v>0</v>
      </c>
      <c r="H82" s="223"/>
      <c r="I82" s="223"/>
      <c r="J82" s="223"/>
      <c r="K82" s="25" t="s">
        <v>36</v>
      </c>
      <c r="M82" s="220">
        <f>'Form 2F.1 - Design'!AC113</f>
        <v>0</v>
      </c>
      <c r="N82" s="220"/>
      <c r="O82" s="220"/>
      <c r="P82" s="220"/>
      <c r="Q82" s="25" t="s">
        <v>34</v>
      </c>
      <c r="T82" s="71"/>
      <c r="U82" s="2"/>
      <c r="V82" s="171"/>
      <c r="W82" s="171"/>
      <c r="X82" s="171"/>
      <c r="Y82" s="25" t="s">
        <v>39</v>
      </c>
      <c r="AA82" s="176"/>
      <c r="AB82" s="176"/>
      <c r="AC82" s="176"/>
      <c r="AD82" s="176"/>
      <c r="AE82" s="25" t="s">
        <v>36</v>
      </c>
      <c r="AG82" s="176"/>
      <c r="AH82" s="176"/>
      <c r="AI82" s="176"/>
      <c r="AJ82" s="176"/>
      <c r="AK82" s="25" t="s">
        <v>34</v>
      </c>
      <c r="AP82" s="83">
        <f t="shared" si="0"/>
        <v>1</v>
      </c>
      <c r="AU82" s="25"/>
    </row>
    <row r="83" spans="1:47" ht="15" customHeight="1" x14ac:dyDescent="0.3">
      <c r="B83" s="219">
        <f>'Form 2F.1 - Design'!S114</f>
        <v>0</v>
      </c>
      <c r="C83" s="219"/>
      <c r="D83" s="219"/>
      <c r="E83" s="25" t="s">
        <v>39</v>
      </c>
      <c r="G83" s="223">
        <f>'Form 2F.1 - Design'!X114</f>
        <v>0</v>
      </c>
      <c r="H83" s="223"/>
      <c r="I83" s="223"/>
      <c r="J83" s="223"/>
      <c r="K83" s="25" t="s">
        <v>36</v>
      </c>
      <c r="M83" s="220">
        <f>'Form 2F.1 - Design'!AC114</f>
        <v>0</v>
      </c>
      <c r="N83" s="220"/>
      <c r="O83" s="220"/>
      <c r="P83" s="220"/>
      <c r="Q83" s="25" t="s">
        <v>34</v>
      </c>
      <c r="T83" s="71"/>
      <c r="U83" s="2"/>
      <c r="V83" s="171"/>
      <c r="W83" s="171"/>
      <c r="X83" s="171"/>
      <c r="Y83" s="25" t="s">
        <v>39</v>
      </c>
      <c r="AA83" s="176"/>
      <c r="AB83" s="176"/>
      <c r="AC83" s="176"/>
      <c r="AD83" s="176"/>
      <c r="AE83" s="25" t="s">
        <v>36</v>
      </c>
      <c r="AG83" s="176"/>
      <c r="AH83" s="176"/>
      <c r="AI83" s="176"/>
      <c r="AJ83" s="176"/>
      <c r="AK83" s="25" t="s">
        <v>34</v>
      </c>
      <c r="AP83" s="83">
        <f t="shared" si="0"/>
        <v>1</v>
      </c>
      <c r="AU83" s="25"/>
    </row>
    <row r="84" spans="1:47" ht="15" customHeight="1" x14ac:dyDescent="0.3">
      <c r="B84" s="219">
        <f>'Form 2F.1 - Design'!S115</f>
        <v>0</v>
      </c>
      <c r="C84" s="219"/>
      <c r="D84" s="219"/>
      <c r="E84" s="25" t="s">
        <v>39</v>
      </c>
      <c r="G84" s="223">
        <f>'Form 2F.1 - Design'!X115</f>
        <v>0</v>
      </c>
      <c r="H84" s="223"/>
      <c r="I84" s="223"/>
      <c r="J84" s="223"/>
      <c r="K84" s="25" t="s">
        <v>36</v>
      </c>
      <c r="M84" s="220">
        <f>'Form 2F.1 - Design'!AC115</f>
        <v>0</v>
      </c>
      <c r="N84" s="220"/>
      <c r="O84" s="220"/>
      <c r="P84" s="220"/>
      <c r="Q84" s="25" t="s">
        <v>34</v>
      </c>
      <c r="T84" s="71"/>
      <c r="U84" s="2"/>
      <c r="V84" s="171"/>
      <c r="W84" s="171"/>
      <c r="X84" s="171"/>
      <c r="Y84" s="25" t="s">
        <v>39</v>
      </c>
      <c r="AA84" s="176"/>
      <c r="AB84" s="176"/>
      <c r="AC84" s="176"/>
      <c r="AD84" s="176"/>
      <c r="AE84" s="25" t="s">
        <v>36</v>
      </c>
      <c r="AG84" s="176"/>
      <c r="AH84" s="176"/>
      <c r="AI84" s="176"/>
      <c r="AJ84" s="176"/>
      <c r="AK84" s="25" t="s">
        <v>34</v>
      </c>
      <c r="AP84" s="83">
        <f t="shared" si="0"/>
        <v>1</v>
      </c>
      <c r="AU84" s="25"/>
    </row>
    <row r="85" spans="1:47" ht="15" customHeight="1" x14ac:dyDescent="0.3">
      <c r="B85" s="219">
        <f>'Form 2F.1 - Design'!S116</f>
        <v>0</v>
      </c>
      <c r="C85" s="219"/>
      <c r="D85" s="219"/>
      <c r="E85" s="25" t="s">
        <v>39</v>
      </c>
      <c r="G85" s="223">
        <f>'Form 2F.1 - Design'!X116</f>
        <v>0</v>
      </c>
      <c r="H85" s="223"/>
      <c r="I85" s="223"/>
      <c r="J85" s="223"/>
      <c r="K85" s="25" t="s">
        <v>36</v>
      </c>
      <c r="M85" s="220">
        <f>'Form 2F.1 - Design'!AC116</f>
        <v>0</v>
      </c>
      <c r="N85" s="220"/>
      <c r="O85" s="220"/>
      <c r="P85" s="220"/>
      <c r="Q85" s="25" t="s">
        <v>34</v>
      </c>
      <c r="T85" s="71"/>
      <c r="U85" s="2"/>
      <c r="V85" s="171"/>
      <c r="W85" s="171"/>
      <c r="X85" s="171"/>
      <c r="Y85" s="25" t="s">
        <v>39</v>
      </c>
      <c r="AA85" s="176"/>
      <c r="AB85" s="176"/>
      <c r="AC85" s="176"/>
      <c r="AD85" s="176"/>
      <c r="AE85" s="25" t="s">
        <v>36</v>
      </c>
      <c r="AG85" s="176"/>
      <c r="AH85" s="176"/>
      <c r="AI85" s="176"/>
      <c r="AJ85" s="176"/>
      <c r="AK85" s="25" t="s">
        <v>34</v>
      </c>
      <c r="AP85" s="83">
        <f t="shared" si="0"/>
        <v>1</v>
      </c>
      <c r="AU85" s="25"/>
    </row>
    <row r="86" spans="1:47" ht="15" customHeight="1" x14ac:dyDescent="0.3">
      <c r="B86" s="219">
        <f>'Form 2F.1 - Design'!S117</f>
        <v>0</v>
      </c>
      <c r="C86" s="219"/>
      <c r="D86" s="219"/>
      <c r="E86" s="25" t="s">
        <v>39</v>
      </c>
      <c r="G86" s="223">
        <f>'Form 2F.1 - Design'!X117</f>
        <v>0</v>
      </c>
      <c r="H86" s="223"/>
      <c r="I86" s="223"/>
      <c r="J86" s="223"/>
      <c r="K86" s="25" t="s">
        <v>36</v>
      </c>
      <c r="M86" s="220">
        <f>'Form 2F.1 - Design'!AC117</f>
        <v>0</v>
      </c>
      <c r="N86" s="220"/>
      <c r="O86" s="220"/>
      <c r="P86" s="220"/>
      <c r="Q86" s="25" t="s">
        <v>34</v>
      </c>
      <c r="T86" s="71"/>
      <c r="U86" s="2"/>
      <c r="V86" s="171"/>
      <c r="W86" s="171"/>
      <c r="X86" s="171"/>
      <c r="Y86" s="25" t="s">
        <v>39</v>
      </c>
      <c r="AA86" s="176"/>
      <c r="AB86" s="176"/>
      <c r="AC86" s="176"/>
      <c r="AD86" s="176"/>
      <c r="AE86" s="25" t="s">
        <v>36</v>
      </c>
      <c r="AG86" s="176"/>
      <c r="AH86" s="176"/>
      <c r="AI86" s="176"/>
      <c r="AJ86" s="176"/>
      <c r="AK86" s="25" t="s">
        <v>34</v>
      </c>
      <c r="AP86" s="83">
        <f t="shared" si="0"/>
        <v>1</v>
      </c>
      <c r="AU86" s="25"/>
    </row>
    <row r="87" spans="1:47" ht="15" customHeight="1" x14ac:dyDescent="0.3">
      <c r="AK87" s="27"/>
      <c r="AU87" s="25"/>
    </row>
    <row r="88" spans="1:47" ht="15" customHeight="1" x14ac:dyDescent="0.3">
      <c r="A88" s="235" t="s">
        <v>51</v>
      </c>
      <c r="B88" s="235"/>
      <c r="C88" s="235"/>
      <c r="D88" s="235"/>
      <c r="E88" s="235"/>
      <c r="F88" s="235"/>
      <c r="G88" s="235"/>
      <c r="H88" s="235"/>
      <c r="I88" s="235"/>
      <c r="J88" s="235"/>
      <c r="K88" s="235"/>
      <c r="L88" s="235"/>
      <c r="M88" s="235"/>
      <c r="N88" s="235"/>
      <c r="O88" s="235"/>
      <c r="P88" s="235"/>
      <c r="Q88" s="235"/>
      <c r="R88" s="235"/>
      <c r="S88" s="235"/>
      <c r="T88" s="235"/>
      <c r="U88" s="235"/>
      <c r="V88" s="235"/>
      <c r="W88" s="235"/>
      <c r="X88" s="235"/>
      <c r="Y88" s="235"/>
      <c r="Z88" s="235"/>
      <c r="AA88" s="235"/>
      <c r="AB88" s="235"/>
      <c r="AC88" s="235"/>
      <c r="AD88" s="235"/>
      <c r="AE88" s="235"/>
      <c r="AF88" s="235"/>
      <c r="AG88" s="235"/>
      <c r="AH88" s="235"/>
      <c r="AI88" s="235"/>
      <c r="AJ88" s="235"/>
      <c r="AK88" s="235"/>
      <c r="AL88" s="235"/>
      <c r="AM88" s="85"/>
      <c r="AN88" s="85"/>
      <c r="AU88" s="25"/>
    </row>
    <row r="89" spans="1:47" ht="15" customHeight="1" x14ac:dyDescent="0.3">
      <c r="A89" s="1" t="s">
        <v>49</v>
      </c>
      <c r="C89" s="1"/>
      <c r="D89" s="1"/>
      <c r="E89" s="1"/>
      <c r="F89" s="1"/>
      <c r="I89" s="26" t="s">
        <v>52</v>
      </c>
      <c r="J89" s="234">
        <f>'Form 2F.1 - Design'!W21</f>
        <v>0</v>
      </c>
      <c r="K89" s="234"/>
      <c r="L89" s="234"/>
      <c r="M89" s="25" t="s">
        <v>34</v>
      </c>
      <c r="T89" s="71"/>
      <c r="U89" s="1" t="s">
        <v>50</v>
      </c>
      <c r="W89" s="1"/>
      <c r="X89" s="1"/>
      <c r="AC89" s="26" t="s">
        <v>53</v>
      </c>
      <c r="AD89" s="198"/>
      <c r="AE89" s="198"/>
      <c r="AF89" s="198"/>
      <c r="AG89" s="25" t="s">
        <v>34</v>
      </c>
      <c r="AM89" s="62" t="s">
        <v>133</v>
      </c>
      <c r="AN89" s="83">
        <f>IF(OR(AD89&gt;J89,AD89=J89),1,2)</f>
        <v>1</v>
      </c>
      <c r="AO89" s="83">
        <f>IF(OR(J89=0,ISBLANK(AD89)),2,1)</f>
        <v>2</v>
      </c>
      <c r="AU89" s="25"/>
    </row>
    <row r="90" spans="1:47" ht="15" customHeight="1" x14ac:dyDescent="0.3">
      <c r="AK90" s="27"/>
      <c r="AU90" s="25"/>
    </row>
    <row r="91" spans="1:47" ht="15" customHeight="1" x14ac:dyDescent="0.3">
      <c r="AK91" s="27"/>
      <c r="AU91" s="25"/>
    </row>
    <row r="92" spans="1:47" ht="15" customHeight="1" x14ac:dyDescent="0.3">
      <c r="AK92" s="27"/>
      <c r="AU92" s="25"/>
    </row>
    <row r="93" spans="1:47" ht="15" customHeight="1" x14ac:dyDescent="0.3">
      <c r="AK93" s="27"/>
      <c r="AU93" s="25"/>
    </row>
    <row r="94" spans="1:47" ht="15" customHeight="1" x14ac:dyDescent="0.3">
      <c r="AK94" s="27"/>
      <c r="AU94" s="25"/>
    </row>
    <row r="95" spans="1:47" ht="15" customHeight="1" x14ac:dyDescent="0.3">
      <c r="AK95" s="27"/>
      <c r="AU95" s="25"/>
    </row>
    <row r="96" spans="1:47" ht="15" customHeight="1" x14ac:dyDescent="0.3">
      <c r="AK96" s="27"/>
      <c r="AU96" s="25"/>
    </row>
    <row r="97" spans="1:58" ht="15" customHeight="1" x14ac:dyDescent="0.3">
      <c r="B97" s="181">
        <f>Tables!$F$13</f>
        <v>46266</v>
      </c>
      <c r="C97" s="181"/>
      <c r="D97" s="181"/>
      <c r="E97" s="181"/>
      <c r="F97" s="181"/>
      <c r="G97" s="181"/>
      <c r="H97" s="181"/>
      <c r="R97" s="182" t="s">
        <v>292</v>
      </c>
      <c r="S97" s="182"/>
      <c r="T97" s="182"/>
      <c r="U97" s="182"/>
      <c r="AK97" s="27"/>
      <c r="AU97" s="25"/>
    </row>
    <row r="98" spans="1:58" ht="15" customHeight="1" x14ac:dyDescent="0.3">
      <c r="C98" s="2" t="s">
        <v>1</v>
      </c>
      <c r="D98" s="179">
        <f>IF(ISBLANK($E$7),"",$E$7)</f>
        <v>0</v>
      </c>
      <c r="E98" s="179"/>
      <c r="F98" s="179"/>
      <c r="G98" s="179"/>
      <c r="H98" s="179"/>
      <c r="I98" s="179"/>
      <c r="J98" s="179"/>
      <c r="K98" s="179"/>
      <c r="L98" s="179"/>
      <c r="M98" s="179"/>
      <c r="N98" s="179"/>
      <c r="O98" s="179"/>
      <c r="P98" s="179"/>
      <c r="Q98" s="179"/>
      <c r="R98" s="179"/>
      <c r="S98" s="179"/>
      <c r="T98" s="179"/>
      <c r="U98" s="179"/>
      <c r="V98" s="179"/>
      <c r="W98" s="179"/>
      <c r="X98" s="179"/>
      <c r="Y98" s="179"/>
      <c r="Z98" s="179"/>
      <c r="AA98" s="32"/>
      <c r="AB98" s="32"/>
      <c r="AC98" s="32"/>
      <c r="AF98" s="2" t="s">
        <v>20</v>
      </c>
      <c r="AG98" s="200">
        <f>$AF$7</f>
        <v>0</v>
      </c>
      <c r="AH98" s="200"/>
      <c r="AI98" s="200"/>
      <c r="AJ98" s="200"/>
      <c r="AK98" s="200"/>
      <c r="AU98" s="25"/>
    </row>
    <row r="99" spans="1:58" ht="15" customHeight="1" x14ac:dyDescent="0.3">
      <c r="H99" s="33"/>
      <c r="I99" s="33"/>
      <c r="J99" s="2"/>
      <c r="K99" s="2"/>
      <c r="L99" s="2"/>
      <c r="M99" s="33"/>
      <c r="N99" s="32"/>
      <c r="O99" s="32"/>
      <c r="P99" s="32"/>
      <c r="Q99" s="32"/>
      <c r="R99" s="32"/>
      <c r="S99" s="32"/>
      <c r="T99" s="32"/>
      <c r="U99" s="32"/>
      <c r="V99" s="32"/>
      <c r="W99" s="32"/>
      <c r="X99" s="32"/>
      <c r="Y99" s="32"/>
      <c r="Z99" s="32"/>
      <c r="AA99" s="32"/>
      <c r="AB99" s="32"/>
      <c r="AC99" s="32"/>
      <c r="AF99" s="2" t="s">
        <v>31</v>
      </c>
      <c r="AG99" s="231">
        <f>IF(ISBLANK($AF$8),"",$AF$8)</f>
        <v>0</v>
      </c>
      <c r="AH99" s="231"/>
      <c r="AI99" s="231"/>
      <c r="AJ99" s="231"/>
      <c r="AK99" s="231"/>
      <c r="AU99" s="25"/>
    </row>
    <row r="100" spans="1:58" ht="15" customHeight="1" x14ac:dyDescent="0.3">
      <c r="H100" s="27"/>
      <c r="J100" s="31"/>
      <c r="K100" s="31"/>
      <c r="L100" s="31"/>
      <c r="N100" s="34"/>
      <c r="O100" s="34"/>
      <c r="P100" s="34"/>
      <c r="Q100" s="34"/>
      <c r="W100" s="27"/>
      <c r="X100" s="27"/>
      <c r="Y100" s="27"/>
      <c r="AA100" s="31"/>
      <c r="AB100" s="31"/>
      <c r="AC100" s="31"/>
      <c r="AE100" s="34"/>
      <c r="AF100" s="34"/>
      <c r="AG100" s="34"/>
      <c r="AH100" s="34"/>
      <c r="AU100" s="25"/>
    </row>
    <row r="101" spans="1:58" ht="15" customHeight="1" x14ac:dyDescent="0.3">
      <c r="A101" s="235" t="s">
        <v>188</v>
      </c>
      <c r="B101" s="235"/>
      <c r="C101" s="235"/>
      <c r="D101" s="235"/>
      <c r="E101" s="235"/>
      <c r="F101" s="235"/>
      <c r="G101" s="235"/>
      <c r="H101" s="235"/>
      <c r="I101" s="235"/>
      <c r="J101" s="235"/>
      <c r="K101" s="235"/>
      <c r="L101" s="235"/>
      <c r="M101" s="235"/>
      <c r="N101" s="235"/>
      <c r="O101" s="235"/>
      <c r="P101" s="235"/>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85"/>
      <c r="AN101" s="85"/>
      <c r="AU101" s="25"/>
    </row>
    <row r="102" spans="1:58" ht="30" customHeight="1" x14ac:dyDescent="0.3">
      <c r="B102" s="1" t="s">
        <v>49</v>
      </c>
      <c r="I102" s="232" t="s">
        <v>111</v>
      </c>
      <c r="J102" s="232"/>
      <c r="K102" s="232"/>
      <c r="L102" s="232"/>
      <c r="M102" s="1"/>
      <c r="N102" s="232" t="s">
        <v>191</v>
      </c>
      <c r="O102" s="232"/>
      <c r="P102" s="232"/>
      <c r="Q102" s="232"/>
      <c r="S102" s="232" t="s">
        <v>192</v>
      </c>
      <c r="T102" s="232"/>
      <c r="U102" s="232"/>
      <c r="V102" s="232"/>
      <c r="X102" s="232" t="s">
        <v>248</v>
      </c>
      <c r="Y102" s="232"/>
      <c r="Z102" s="232"/>
      <c r="AA102" s="232"/>
      <c r="AC102" s="232" t="s">
        <v>225</v>
      </c>
      <c r="AD102" s="232"/>
      <c r="AE102" s="232"/>
      <c r="AF102" s="232"/>
      <c r="AH102" s="232" t="s">
        <v>112</v>
      </c>
      <c r="AI102" s="232"/>
      <c r="AJ102" s="232"/>
      <c r="AK102" s="232"/>
      <c r="AM102" s="10" t="s">
        <v>277</v>
      </c>
      <c r="AN102" s="10" t="s">
        <v>274</v>
      </c>
      <c r="AO102" s="19" t="s">
        <v>308</v>
      </c>
      <c r="AQ102" s="89">
        <f>Tables!F26</f>
        <v>6</v>
      </c>
      <c r="AR102" s="10" t="s">
        <v>254</v>
      </c>
      <c r="AY102" s="24"/>
      <c r="AZ102" s="24"/>
      <c r="BA102" s="24"/>
      <c r="BB102" s="24"/>
      <c r="BC102" s="24"/>
      <c r="BD102" s="24"/>
      <c r="BE102" s="24"/>
      <c r="BF102" s="24"/>
    </row>
    <row r="103" spans="1:58" ht="15" customHeight="1" x14ac:dyDescent="0.3">
      <c r="C103" s="180">
        <f>Tables!$F$16</f>
        <v>4.21</v>
      </c>
      <c r="D103" s="180"/>
      <c r="G103" s="2" t="str">
        <f>Tables!$D$16</f>
        <v>(2-yr)</v>
      </c>
      <c r="I103" s="202">
        <f>'Form 2F.1 - Design'!M129</f>
        <v>0</v>
      </c>
      <c r="J103" s="202"/>
      <c r="K103" s="202"/>
      <c r="L103" s="202"/>
      <c r="N103" s="229">
        <f>'Form 2F.1 - Design'!Q129</f>
        <v>0</v>
      </c>
      <c r="O103" s="229"/>
      <c r="P103" s="229"/>
      <c r="Q103" s="229"/>
      <c r="S103" s="229">
        <f>'Form 2F.1 - Design'!U129</f>
        <v>0</v>
      </c>
      <c r="T103" s="229"/>
      <c r="U103" s="229"/>
      <c r="V103" s="229"/>
      <c r="X103" s="229">
        <f>'Form 2F.1 - Design'!Y129</f>
        <v>0</v>
      </c>
      <c r="Y103" s="229"/>
      <c r="Z103" s="229"/>
      <c r="AA103" s="229"/>
      <c r="AC103" s="229">
        <f>'Form 2F.1 - Design'!AC129</f>
        <v>0</v>
      </c>
      <c r="AD103" s="229"/>
      <c r="AE103" s="229"/>
      <c r="AF103" s="229"/>
      <c r="AH103" s="229">
        <f>'Form 2F.1 - Design'!AG129</f>
        <v>0</v>
      </c>
      <c r="AI103" s="229"/>
      <c r="AJ103" s="229"/>
      <c r="AK103" s="229"/>
      <c r="AM103" s="83">
        <f>IF(AH103&gt;I103,1,0)</f>
        <v>0</v>
      </c>
      <c r="AN103" s="83">
        <f>IF(OR($AR$104=0,$AR$106=2),0,IF($AH103&gt;$AR$104,1,0))</f>
        <v>0</v>
      </c>
      <c r="AO103" s="83">
        <f>IF(OR($AR$105=0,$AR$106=2),0,IF($AH103&gt;$AR$105,1,0))</f>
        <v>0</v>
      </c>
      <c r="AQ103" s="19" t="s">
        <v>305</v>
      </c>
      <c r="AR103" s="19" t="s">
        <v>134</v>
      </c>
      <c r="AX103"/>
      <c r="AY103" s="24"/>
      <c r="AZ103" s="24"/>
      <c r="BA103" s="24"/>
      <c r="BB103" s="24"/>
      <c r="BC103" s="24"/>
      <c r="BD103" s="24"/>
      <c r="BE103" s="24"/>
      <c r="BF103" s="24"/>
    </row>
    <row r="104" spans="1:58" ht="15" customHeight="1" x14ac:dyDescent="0.3">
      <c r="C104" s="180">
        <f>Tables!$F$17</f>
        <v>5.24</v>
      </c>
      <c r="D104" s="180"/>
      <c r="G104" s="2" t="str">
        <f>Tables!$D$17</f>
        <v>(5-yr)</v>
      </c>
      <c r="I104" s="202">
        <f>'Form 2F.1 - Design'!M130</f>
        <v>0</v>
      </c>
      <c r="J104" s="202"/>
      <c r="K104" s="202"/>
      <c r="L104" s="202"/>
      <c r="N104" s="230">
        <f>'Form 2F.1 - Design'!Q130</f>
        <v>0</v>
      </c>
      <c r="O104" s="230"/>
      <c r="P104" s="230"/>
      <c r="Q104" s="230"/>
      <c r="S104" s="230">
        <f>'Form 2F.1 - Design'!U130</f>
        <v>0</v>
      </c>
      <c r="T104" s="230"/>
      <c r="U104" s="230"/>
      <c r="V104" s="230"/>
      <c r="X104" s="230">
        <f>'Form 2F.1 - Design'!Y130</f>
        <v>0</v>
      </c>
      <c r="Y104" s="230"/>
      <c r="Z104" s="230"/>
      <c r="AA104" s="230"/>
      <c r="AC104" s="230">
        <f>'Form 2F.1 - Design'!AC130</f>
        <v>0</v>
      </c>
      <c r="AD104" s="230"/>
      <c r="AE104" s="230"/>
      <c r="AF104" s="230"/>
      <c r="AH104" s="230">
        <f>'Form 2F.1 - Design'!AG130</f>
        <v>0</v>
      </c>
      <c r="AI104" s="230"/>
      <c r="AJ104" s="230"/>
      <c r="AK104" s="230"/>
      <c r="AM104" s="83">
        <f t="shared" ref="AM104:AM108" si="1">IF(AH104&gt;I104,1,0)</f>
        <v>0</v>
      </c>
      <c r="AN104" s="83">
        <f t="shared" ref="AN104:AN108" si="2">IF(OR($AR$104=0,$AR$106=2),0,IF($AH104&gt;$AR$104,1,0))</f>
        <v>0</v>
      </c>
      <c r="AO104" s="83">
        <f t="shared" ref="AO104:AO108" si="3">IF(OR($AR$105=0,$AR$106=2),0,IF($AH104&gt;$AR$105,1,0))</f>
        <v>0</v>
      </c>
      <c r="AP104" s="99">
        <f>IF(AP107="Yes",'Form 2F.1 - Design'!AM156,1)</f>
        <v>1</v>
      </c>
      <c r="AQ104" s="83" t="str">
        <f>'Form 2F.1 - Design'!AO156</f>
        <v>No</v>
      </c>
      <c r="AR104" s="89">
        <f>'Form 2F.1 - Design'!AN156</f>
        <v>0</v>
      </c>
      <c r="AS104" s="49" t="s">
        <v>274</v>
      </c>
      <c r="AX104" s="24"/>
      <c r="AY104" s="24"/>
      <c r="AZ104" s="24"/>
      <c r="BA104" s="24"/>
      <c r="BB104" s="24"/>
      <c r="BC104" s="24"/>
      <c r="BD104" s="24"/>
      <c r="BE104" s="24"/>
      <c r="BF104" s="24"/>
    </row>
    <row r="105" spans="1:58" ht="15" customHeight="1" x14ac:dyDescent="0.3">
      <c r="C105" s="180">
        <f>Tables!$F$18</f>
        <v>6.17</v>
      </c>
      <c r="D105" s="180"/>
      <c r="G105" s="2" t="str">
        <f>Tables!$D$18</f>
        <v>(10-yr)</v>
      </c>
      <c r="I105" s="202">
        <f>'Form 2F.1 - Design'!M131</f>
        <v>0</v>
      </c>
      <c r="J105" s="202"/>
      <c r="K105" s="202"/>
      <c r="L105" s="202"/>
      <c r="N105" s="230">
        <f>'Form 2F.1 - Design'!Q131</f>
        <v>0</v>
      </c>
      <c r="O105" s="230"/>
      <c r="P105" s="230"/>
      <c r="Q105" s="230"/>
      <c r="S105" s="230">
        <f>'Form 2F.1 - Design'!U131</f>
        <v>0</v>
      </c>
      <c r="T105" s="230"/>
      <c r="U105" s="230"/>
      <c r="V105" s="230"/>
      <c r="X105" s="230">
        <f>'Form 2F.1 - Design'!Y131</f>
        <v>0</v>
      </c>
      <c r="Y105" s="230"/>
      <c r="Z105" s="230"/>
      <c r="AA105" s="230"/>
      <c r="AC105" s="230">
        <f>'Form 2F.1 - Design'!AC131</f>
        <v>0</v>
      </c>
      <c r="AD105" s="230"/>
      <c r="AE105" s="230"/>
      <c r="AF105" s="230"/>
      <c r="AH105" s="230">
        <f>'Form 2F.1 - Design'!AG131</f>
        <v>0</v>
      </c>
      <c r="AI105" s="230"/>
      <c r="AJ105" s="230"/>
      <c r="AK105" s="230"/>
      <c r="AM105" s="83">
        <f t="shared" si="1"/>
        <v>0</v>
      </c>
      <c r="AN105" s="83">
        <f t="shared" si="2"/>
        <v>0</v>
      </c>
      <c r="AO105" s="83">
        <f t="shared" si="3"/>
        <v>0</v>
      </c>
      <c r="AP105" s="99">
        <f>IF(AP107="Yes",'Form 2F.1 - Design'!AM158,1)</f>
        <v>1</v>
      </c>
      <c r="AQ105" s="83" t="str">
        <f>'Form 2F.1 - Design'!AO158</f>
        <v>Yes</v>
      </c>
      <c r="AR105" s="89">
        <f>'Form 2F.1 - Design'!AN158</f>
        <v>0</v>
      </c>
      <c r="AS105" s="49" t="s">
        <v>280</v>
      </c>
      <c r="AU105" s="23"/>
      <c r="AX105" s="24"/>
      <c r="AY105" s="24"/>
      <c r="AZ105" s="24"/>
      <c r="BA105" s="24"/>
      <c r="BB105" s="24"/>
      <c r="BC105" s="24"/>
      <c r="BD105" s="24"/>
      <c r="BE105" s="24"/>
      <c r="BF105" s="24"/>
    </row>
    <row r="106" spans="1:58" ht="15" customHeight="1" x14ac:dyDescent="0.3">
      <c r="C106" s="180">
        <f>Tables!$F$19</f>
        <v>7.55</v>
      </c>
      <c r="D106" s="180"/>
      <c r="G106" s="2" t="str">
        <f>Tables!$D$19</f>
        <v>(25-yr)</v>
      </c>
      <c r="I106" s="202">
        <f>'Form 2F.1 - Design'!M132</f>
        <v>0</v>
      </c>
      <c r="J106" s="202"/>
      <c r="K106" s="202"/>
      <c r="L106" s="202"/>
      <c r="N106" s="230">
        <f>'Form 2F.1 - Design'!Q132</f>
        <v>0</v>
      </c>
      <c r="O106" s="230"/>
      <c r="P106" s="230"/>
      <c r="Q106" s="230"/>
      <c r="S106" s="230">
        <f>'Form 2F.1 - Design'!U132</f>
        <v>0</v>
      </c>
      <c r="T106" s="230"/>
      <c r="U106" s="230"/>
      <c r="V106" s="230"/>
      <c r="X106" s="230">
        <f>'Form 2F.1 - Design'!Y132</f>
        <v>0</v>
      </c>
      <c r="Y106" s="230"/>
      <c r="Z106" s="230"/>
      <c r="AA106" s="230"/>
      <c r="AC106" s="230">
        <f>'Form 2F.1 - Design'!AC132</f>
        <v>0</v>
      </c>
      <c r="AD106" s="230"/>
      <c r="AE106" s="230"/>
      <c r="AF106" s="230"/>
      <c r="AH106" s="230">
        <f>'Form 2F.1 - Design'!AG132</f>
        <v>0</v>
      </c>
      <c r="AI106" s="230"/>
      <c r="AJ106" s="230"/>
      <c r="AK106" s="230"/>
      <c r="AM106" s="83">
        <f t="shared" si="1"/>
        <v>0</v>
      </c>
      <c r="AN106" s="83">
        <f t="shared" si="2"/>
        <v>0</v>
      </c>
      <c r="AO106" s="83">
        <f t="shared" si="3"/>
        <v>0</v>
      </c>
      <c r="AP106" s="106">
        <f>'Form 2F.1 - Design'!AN156</f>
        <v>0</v>
      </c>
      <c r="AR106" s="83">
        <f>'Form 2F.1 - Design'!AN174</f>
        <v>1</v>
      </c>
      <c r="AS106" s="10" t="s">
        <v>396</v>
      </c>
      <c r="AU106" s="23"/>
      <c r="AY106" s="24"/>
      <c r="AZ106" s="24"/>
      <c r="BA106" s="24"/>
      <c r="BB106" s="24"/>
      <c r="BC106" s="24"/>
      <c r="BD106" s="24"/>
      <c r="BE106" s="24"/>
      <c r="BF106" s="24"/>
    </row>
    <row r="107" spans="1:58" ht="15" customHeight="1" x14ac:dyDescent="0.3">
      <c r="C107" s="180">
        <f>Tables!$F$20</f>
        <v>8.6999999999999993</v>
      </c>
      <c r="D107" s="180"/>
      <c r="G107" s="2" t="str">
        <f>Tables!$D$20</f>
        <v>(50-yr)</v>
      </c>
      <c r="I107" s="202">
        <f>'Form 2F.1 - Design'!M133</f>
        <v>0</v>
      </c>
      <c r="J107" s="202"/>
      <c r="K107" s="202"/>
      <c r="L107" s="202"/>
      <c r="N107" s="230">
        <f>'Form 2F.1 - Design'!Q133</f>
        <v>0</v>
      </c>
      <c r="O107" s="230"/>
      <c r="P107" s="230"/>
      <c r="Q107" s="230"/>
      <c r="S107" s="230">
        <f>'Form 2F.1 - Design'!U133</f>
        <v>0</v>
      </c>
      <c r="T107" s="230"/>
      <c r="U107" s="230"/>
      <c r="V107" s="230"/>
      <c r="X107" s="230">
        <f>'Form 2F.1 - Design'!Y133</f>
        <v>0</v>
      </c>
      <c r="Y107" s="230"/>
      <c r="Z107" s="230"/>
      <c r="AA107" s="230"/>
      <c r="AC107" s="230">
        <f>'Form 2F.1 - Design'!AC133</f>
        <v>0</v>
      </c>
      <c r="AD107" s="230"/>
      <c r="AE107" s="230"/>
      <c r="AF107" s="230"/>
      <c r="AH107" s="230">
        <f>'Form 2F.1 - Design'!AG133</f>
        <v>0</v>
      </c>
      <c r="AI107" s="230"/>
      <c r="AJ107" s="230"/>
      <c r="AK107" s="230"/>
      <c r="AM107" s="83">
        <f t="shared" si="1"/>
        <v>0</v>
      </c>
      <c r="AN107" s="83">
        <f t="shared" si="2"/>
        <v>0</v>
      </c>
      <c r="AO107" s="83">
        <f t="shared" si="3"/>
        <v>0</v>
      </c>
      <c r="AP107" s="99" t="str">
        <f>'Form 2F.1 - Design'!AO156</f>
        <v>No</v>
      </c>
      <c r="AU107" s="23"/>
      <c r="AY107" s="24"/>
      <c r="AZ107" s="24"/>
      <c r="BA107" s="24"/>
      <c r="BB107" s="24"/>
      <c r="BC107" s="24"/>
      <c r="BD107" s="24"/>
      <c r="BE107" s="24"/>
      <c r="BF107" s="24"/>
    </row>
    <row r="108" spans="1:58" ht="15" customHeight="1" x14ac:dyDescent="0.3">
      <c r="C108" s="180">
        <f>Tables!$F$21</f>
        <v>9.93</v>
      </c>
      <c r="D108" s="180"/>
      <c r="G108" s="2" t="str">
        <f>Tables!$D$21</f>
        <v>(100-yr)</v>
      </c>
      <c r="I108" s="202">
        <f>'Form 2F.1 - Design'!M134</f>
        <v>0</v>
      </c>
      <c r="J108" s="202"/>
      <c r="K108" s="202"/>
      <c r="L108" s="202"/>
      <c r="N108" s="230">
        <f>'Form 2F.1 - Design'!Q134</f>
        <v>0</v>
      </c>
      <c r="O108" s="230"/>
      <c r="P108" s="230"/>
      <c r="Q108" s="230"/>
      <c r="S108" s="230">
        <f>'Form 2F.1 - Design'!U134</f>
        <v>0</v>
      </c>
      <c r="T108" s="230"/>
      <c r="U108" s="230"/>
      <c r="V108" s="230"/>
      <c r="X108" s="230">
        <f>'Form 2F.1 - Design'!Y134</f>
        <v>0</v>
      </c>
      <c r="Y108" s="230"/>
      <c r="Z108" s="230"/>
      <c r="AA108" s="230"/>
      <c r="AC108" s="230">
        <f>'Form 2F.1 - Design'!AC134</f>
        <v>0</v>
      </c>
      <c r="AD108" s="230"/>
      <c r="AE108" s="230"/>
      <c r="AF108" s="230"/>
      <c r="AH108" s="230">
        <f>'Form 2F.1 - Design'!AG134</f>
        <v>0</v>
      </c>
      <c r="AI108" s="230"/>
      <c r="AJ108" s="230"/>
      <c r="AK108" s="230"/>
      <c r="AM108" s="83">
        <f t="shared" si="1"/>
        <v>0</v>
      </c>
      <c r="AN108" s="83">
        <f t="shared" si="2"/>
        <v>0</v>
      </c>
      <c r="AO108" s="83">
        <f t="shared" si="3"/>
        <v>0</v>
      </c>
      <c r="AU108" s="23"/>
      <c r="AY108" s="24"/>
      <c r="AZ108" s="24"/>
      <c r="BA108" s="24"/>
      <c r="BB108" s="24"/>
      <c r="BC108" s="24"/>
      <c r="BD108" s="24"/>
      <c r="BE108" s="24"/>
      <c r="BF108" s="24"/>
    </row>
    <row r="109" spans="1:58" ht="30" customHeight="1" x14ac:dyDescent="0.3">
      <c r="B109" s="1" t="s">
        <v>50</v>
      </c>
      <c r="I109" s="232" t="s">
        <v>111</v>
      </c>
      <c r="J109" s="232"/>
      <c r="K109" s="232"/>
      <c r="L109" s="232"/>
      <c r="M109" s="35"/>
      <c r="N109" s="232" t="s">
        <v>191</v>
      </c>
      <c r="O109" s="232"/>
      <c r="P109" s="232"/>
      <c r="Q109" s="232"/>
      <c r="S109" s="232" t="s">
        <v>192</v>
      </c>
      <c r="T109" s="232"/>
      <c r="U109" s="232"/>
      <c r="V109" s="232"/>
      <c r="X109" s="232" t="s">
        <v>248</v>
      </c>
      <c r="Y109" s="232"/>
      <c r="Z109" s="232"/>
      <c r="AA109" s="232"/>
      <c r="AC109" s="232" t="s">
        <v>225</v>
      </c>
      <c r="AD109" s="232"/>
      <c r="AE109" s="232"/>
      <c r="AF109" s="232"/>
      <c r="AH109" s="232" t="s">
        <v>112</v>
      </c>
      <c r="AI109" s="232"/>
      <c r="AJ109" s="232"/>
      <c r="AK109" s="232"/>
      <c r="AM109" s="83">
        <f>SUM(AM110:AM115)</f>
        <v>6</v>
      </c>
      <c r="AN109" s="83">
        <f>SUM(AN110:AN115)</f>
        <v>6</v>
      </c>
      <c r="AO109" s="83">
        <f>SUM(AO110:AO114)</f>
        <v>0</v>
      </c>
      <c r="AP109" s="83">
        <f>SUM(AP110:AP115)</f>
        <v>6</v>
      </c>
      <c r="AQ109" s="83">
        <f t="shared" ref="AQ109:AR109" si="4">SUM(AQ110:AQ115)</f>
        <v>0</v>
      </c>
      <c r="AR109" s="83">
        <f t="shared" si="4"/>
        <v>0</v>
      </c>
      <c r="AS109" s="83">
        <f>SUM(AS110:AS115)</f>
        <v>6</v>
      </c>
      <c r="AU109" s="23"/>
      <c r="AY109" s="24"/>
      <c r="AZ109" s="24"/>
      <c r="BA109" s="24"/>
      <c r="BB109" s="24"/>
      <c r="BC109" s="24"/>
      <c r="BD109" s="24"/>
      <c r="BE109" s="24"/>
      <c r="BF109" s="24"/>
    </row>
    <row r="110" spans="1:58" ht="15" customHeight="1" x14ac:dyDescent="0.3">
      <c r="C110" s="180">
        <f>Tables!$F$16</f>
        <v>4.21</v>
      </c>
      <c r="D110" s="180"/>
      <c r="G110" s="2" t="str">
        <f>Tables!$D$16</f>
        <v>(2-yr)</v>
      </c>
      <c r="I110" s="173"/>
      <c r="J110" s="173"/>
      <c r="K110" s="173"/>
      <c r="L110" s="173"/>
      <c r="N110" s="173"/>
      <c r="O110" s="173"/>
      <c r="P110" s="173"/>
      <c r="Q110" s="173"/>
      <c r="S110" s="173"/>
      <c r="T110" s="173"/>
      <c r="U110" s="173"/>
      <c r="V110" s="173"/>
      <c r="X110" s="173"/>
      <c r="Y110" s="173"/>
      <c r="Z110" s="173"/>
      <c r="AA110" s="173"/>
      <c r="AC110" s="173"/>
      <c r="AD110" s="173"/>
      <c r="AE110" s="173"/>
      <c r="AF110" s="173"/>
      <c r="AH110" s="173"/>
      <c r="AI110" s="173"/>
      <c r="AJ110" s="173"/>
      <c r="AK110" s="173"/>
      <c r="AM110" s="83">
        <f>IF(ISBLANK(I110),1,IF(I110=I103,0,1))</f>
        <v>1</v>
      </c>
      <c r="AN110" s="83">
        <f t="shared" ref="AN110:AN114" si="5">IF(ISBLANK(N110),1,IF(N110=N103,0,1))</f>
        <v>1</v>
      </c>
      <c r="AO110" s="83"/>
      <c r="AP110" s="83">
        <f t="shared" ref="AP110:AP115" si="6">IF(ISBLANK(AC110),1,IF(AC110&gt;$AQ$102,1,0))</f>
        <v>1</v>
      </c>
      <c r="AQ110" s="83">
        <f>IF(OR($AR$104=0,$AR$106=2),0,IF($AH110&gt;$AR$104,1,0))</f>
        <v>0</v>
      </c>
      <c r="AR110" s="83">
        <f>IF(OR($AR$105=0,$AR$106=2),0,IF($AH110&gt;$AR$105,1,0))</f>
        <v>0</v>
      </c>
      <c r="AS110" s="83">
        <f>IF(OR(ISBLANK(AH110),ISBLANK(I110)),1,IF(AH110&gt;I110,1,0))</f>
        <v>1</v>
      </c>
      <c r="AU110" s="23"/>
      <c r="AY110" s="24"/>
      <c r="AZ110" s="24"/>
      <c r="BA110" s="24"/>
      <c r="BB110" s="24"/>
      <c r="BC110" s="24"/>
      <c r="BD110" s="24"/>
      <c r="BE110" s="24"/>
      <c r="BF110" s="24"/>
    </row>
    <row r="111" spans="1:58" ht="15" customHeight="1" x14ac:dyDescent="0.3">
      <c r="C111" s="180">
        <f>Tables!$F$17</f>
        <v>5.24</v>
      </c>
      <c r="D111" s="180"/>
      <c r="G111" s="2" t="str">
        <f>Tables!$D$17</f>
        <v>(5-yr)</v>
      </c>
      <c r="I111" s="167"/>
      <c r="J111" s="167"/>
      <c r="K111" s="167"/>
      <c r="L111" s="167"/>
      <c r="N111" s="167"/>
      <c r="O111" s="167"/>
      <c r="P111" s="167"/>
      <c r="Q111" s="167"/>
      <c r="S111" s="167"/>
      <c r="T111" s="167"/>
      <c r="U111" s="167"/>
      <c r="V111" s="167"/>
      <c r="X111" s="167"/>
      <c r="Y111" s="167"/>
      <c r="Z111" s="167"/>
      <c r="AA111" s="167"/>
      <c r="AC111" s="167"/>
      <c r="AD111" s="167"/>
      <c r="AE111" s="167"/>
      <c r="AF111" s="167"/>
      <c r="AH111" s="167"/>
      <c r="AI111" s="167"/>
      <c r="AJ111" s="167"/>
      <c r="AK111" s="167"/>
      <c r="AM111" s="83">
        <f t="shared" ref="AM111:AM115" si="7">IF(ISBLANK(I111),1,IF(I111=I104,0,1))</f>
        <v>1</v>
      </c>
      <c r="AN111" s="83">
        <f t="shared" si="5"/>
        <v>1</v>
      </c>
      <c r="AO111" s="83"/>
      <c r="AP111" s="83">
        <f t="shared" si="6"/>
        <v>1</v>
      </c>
      <c r="AQ111" s="83">
        <f t="shared" ref="AQ111:AQ115" si="8">IF(OR($AR$104=0,$AR$106=2),0,IF($AH111&gt;$AR$104,1,0))</f>
        <v>0</v>
      </c>
      <c r="AR111" s="83">
        <f t="shared" ref="AR111:AR115" si="9">IF(OR($AR$105=0,$AR$106=2),0,IF($AH111&gt;$AR$105,1,0))</f>
        <v>0</v>
      </c>
      <c r="AS111" s="83">
        <f>IF(OR(ISBLANK(AH111),ISBLANK(I111)),1,IF(AH111&gt;I111,1,0))</f>
        <v>1</v>
      </c>
      <c r="AY111" s="24"/>
      <c r="AZ111" s="24"/>
      <c r="BA111" s="24"/>
      <c r="BB111" s="24"/>
      <c r="BC111" s="24"/>
      <c r="BD111" s="24"/>
      <c r="BE111" s="24"/>
      <c r="BF111" s="24"/>
    </row>
    <row r="112" spans="1:58" ht="15" customHeight="1" x14ac:dyDescent="0.3">
      <c r="C112" s="180">
        <f>Tables!$F$18</f>
        <v>6.17</v>
      </c>
      <c r="D112" s="180"/>
      <c r="G112" s="2" t="str">
        <f>Tables!$D$18</f>
        <v>(10-yr)</v>
      </c>
      <c r="I112" s="167"/>
      <c r="J112" s="167"/>
      <c r="K112" s="167"/>
      <c r="L112" s="167"/>
      <c r="N112" s="167"/>
      <c r="O112" s="167"/>
      <c r="P112" s="167"/>
      <c r="Q112" s="167"/>
      <c r="S112" s="167"/>
      <c r="T112" s="167"/>
      <c r="U112" s="167"/>
      <c r="V112" s="167"/>
      <c r="X112" s="167"/>
      <c r="Y112" s="167"/>
      <c r="Z112" s="167"/>
      <c r="AA112" s="167"/>
      <c r="AC112" s="167"/>
      <c r="AD112" s="167"/>
      <c r="AE112" s="167"/>
      <c r="AF112" s="167"/>
      <c r="AH112" s="167"/>
      <c r="AI112" s="167"/>
      <c r="AJ112" s="167"/>
      <c r="AK112" s="167"/>
      <c r="AM112" s="83">
        <f t="shared" si="7"/>
        <v>1</v>
      </c>
      <c r="AN112" s="83">
        <f t="shared" si="5"/>
        <v>1</v>
      </c>
      <c r="AO112" s="83"/>
      <c r="AP112" s="83">
        <f t="shared" si="6"/>
        <v>1</v>
      </c>
      <c r="AQ112" s="83">
        <f t="shared" si="8"/>
        <v>0</v>
      </c>
      <c r="AR112" s="83">
        <f t="shared" si="9"/>
        <v>0</v>
      </c>
      <c r="AS112" s="83">
        <f t="shared" ref="AS112:AS115" si="10">IF(OR(ISBLANK(AH112),ISBLANK(I112)),1,IF(AH112&gt;I112,1,0))</f>
        <v>1</v>
      </c>
      <c r="AU112" s="25"/>
      <c r="AY112" s="24"/>
      <c r="AZ112" s="24"/>
      <c r="BA112" s="24"/>
      <c r="BB112" s="24"/>
      <c r="BC112" s="24"/>
      <c r="BD112" s="24"/>
      <c r="BE112" s="24"/>
      <c r="BF112" s="24"/>
    </row>
    <row r="113" spans="2:58" ht="15" customHeight="1" x14ac:dyDescent="0.3">
      <c r="C113" s="180">
        <f>Tables!$F$19</f>
        <v>7.55</v>
      </c>
      <c r="D113" s="180"/>
      <c r="G113" s="2" t="str">
        <f>Tables!$D$19</f>
        <v>(25-yr)</v>
      </c>
      <c r="I113" s="167"/>
      <c r="J113" s="167"/>
      <c r="K113" s="167"/>
      <c r="L113" s="167"/>
      <c r="N113" s="167"/>
      <c r="O113" s="167"/>
      <c r="P113" s="167"/>
      <c r="Q113" s="167"/>
      <c r="S113" s="167"/>
      <c r="T113" s="167"/>
      <c r="U113" s="167"/>
      <c r="V113" s="167"/>
      <c r="X113" s="167"/>
      <c r="Y113" s="167"/>
      <c r="Z113" s="167"/>
      <c r="AA113" s="167"/>
      <c r="AC113" s="167"/>
      <c r="AD113" s="167"/>
      <c r="AE113" s="167"/>
      <c r="AF113" s="167"/>
      <c r="AH113" s="167"/>
      <c r="AI113" s="167"/>
      <c r="AJ113" s="167"/>
      <c r="AK113" s="167"/>
      <c r="AM113" s="83">
        <f t="shared" si="7"/>
        <v>1</v>
      </c>
      <c r="AN113" s="83">
        <f t="shared" si="5"/>
        <v>1</v>
      </c>
      <c r="AO113" s="83"/>
      <c r="AP113" s="83">
        <f t="shared" si="6"/>
        <v>1</v>
      </c>
      <c r="AQ113" s="83">
        <f t="shared" si="8"/>
        <v>0</v>
      </c>
      <c r="AR113" s="83">
        <f t="shared" si="9"/>
        <v>0</v>
      </c>
      <c r="AS113" s="83">
        <f t="shared" si="10"/>
        <v>1</v>
      </c>
      <c r="AU113" s="25"/>
      <c r="AY113" s="24"/>
      <c r="AZ113" s="24"/>
      <c r="BA113" s="24"/>
      <c r="BB113" s="24"/>
      <c r="BC113" s="24"/>
      <c r="BD113" s="24"/>
      <c r="BE113" s="24"/>
      <c r="BF113" s="24"/>
    </row>
    <row r="114" spans="2:58" ht="15" customHeight="1" x14ac:dyDescent="0.3">
      <c r="C114" s="180">
        <f>Tables!$F$20</f>
        <v>8.6999999999999993</v>
      </c>
      <c r="D114" s="180"/>
      <c r="G114" s="2" t="str">
        <f>Tables!$D$20</f>
        <v>(50-yr)</v>
      </c>
      <c r="I114" s="167"/>
      <c r="J114" s="167"/>
      <c r="K114" s="167"/>
      <c r="L114" s="167"/>
      <c r="N114" s="167"/>
      <c r="O114" s="167"/>
      <c r="P114" s="167"/>
      <c r="Q114" s="167"/>
      <c r="S114" s="167"/>
      <c r="T114" s="167"/>
      <c r="U114" s="167"/>
      <c r="V114" s="167"/>
      <c r="X114" s="167"/>
      <c r="Y114" s="167"/>
      <c r="Z114" s="167"/>
      <c r="AA114" s="167"/>
      <c r="AC114" s="167"/>
      <c r="AD114" s="167"/>
      <c r="AE114" s="167"/>
      <c r="AF114" s="167"/>
      <c r="AH114" s="167"/>
      <c r="AI114" s="167"/>
      <c r="AJ114" s="167"/>
      <c r="AK114" s="167"/>
      <c r="AM114" s="83">
        <f t="shared" si="7"/>
        <v>1</v>
      </c>
      <c r="AN114" s="83">
        <f t="shared" si="5"/>
        <v>1</v>
      </c>
      <c r="AO114" s="83"/>
      <c r="AP114" s="83">
        <f t="shared" si="6"/>
        <v>1</v>
      </c>
      <c r="AQ114" s="83">
        <f t="shared" si="8"/>
        <v>0</v>
      </c>
      <c r="AR114" s="83">
        <f t="shared" si="9"/>
        <v>0</v>
      </c>
      <c r="AS114" s="83">
        <f t="shared" si="10"/>
        <v>1</v>
      </c>
      <c r="AY114" s="24"/>
      <c r="AZ114" s="24"/>
      <c r="BA114" s="24"/>
      <c r="BB114" s="24"/>
      <c r="BC114" s="24"/>
      <c r="BD114" s="24"/>
      <c r="BE114" s="24"/>
      <c r="BF114" s="24"/>
    </row>
    <row r="115" spans="2:58" ht="15" customHeight="1" x14ac:dyDescent="0.3">
      <c r="C115" s="180">
        <f>Tables!$F$21</f>
        <v>9.93</v>
      </c>
      <c r="D115" s="180"/>
      <c r="G115" s="2" t="str">
        <f>Tables!$D$21</f>
        <v>(100-yr)</v>
      </c>
      <c r="I115" s="167"/>
      <c r="J115" s="167"/>
      <c r="K115" s="167"/>
      <c r="L115" s="167"/>
      <c r="N115" s="167"/>
      <c r="O115" s="167"/>
      <c r="P115" s="167"/>
      <c r="Q115" s="167"/>
      <c r="S115" s="167"/>
      <c r="T115" s="167"/>
      <c r="U115" s="167"/>
      <c r="V115" s="167"/>
      <c r="X115" s="167"/>
      <c r="Y115" s="167"/>
      <c r="Z115" s="167"/>
      <c r="AA115" s="167"/>
      <c r="AC115" s="167"/>
      <c r="AD115" s="167"/>
      <c r="AE115" s="167"/>
      <c r="AF115" s="167"/>
      <c r="AH115" s="167"/>
      <c r="AI115" s="167"/>
      <c r="AJ115" s="167"/>
      <c r="AK115" s="167"/>
      <c r="AM115" s="83">
        <f t="shared" si="7"/>
        <v>1</v>
      </c>
      <c r="AN115" s="83">
        <f>IF(ISBLANK(N115),1,IF(N115=N108,0,1))</f>
        <v>1</v>
      </c>
      <c r="AO115" s="89"/>
      <c r="AP115" s="83">
        <f t="shared" si="6"/>
        <v>1</v>
      </c>
      <c r="AQ115" s="83">
        <f t="shared" si="8"/>
        <v>0</v>
      </c>
      <c r="AR115" s="83">
        <f t="shared" si="9"/>
        <v>0</v>
      </c>
      <c r="AS115" s="83">
        <f t="shared" si="10"/>
        <v>1</v>
      </c>
      <c r="AY115" s="24"/>
      <c r="AZ115" s="24"/>
      <c r="BA115" s="24"/>
      <c r="BB115" s="24"/>
      <c r="BC115" s="24"/>
      <c r="BD115" s="24"/>
      <c r="BE115" s="24"/>
      <c r="BF115" s="24"/>
    </row>
    <row r="116" spans="2:58" ht="4.95" customHeight="1" x14ac:dyDescent="0.3">
      <c r="AM116" s="84"/>
      <c r="AN116" s="84"/>
      <c r="AO116" s="84"/>
      <c r="AP116" s="84"/>
      <c r="AS116" s="84"/>
      <c r="AY116" s="24"/>
      <c r="AZ116" s="24"/>
      <c r="BA116" s="24"/>
      <c r="BB116" s="24"/>
      <c r="BC116" s="24"/>
      <c r="BD116" s="24"/>
      <c r="BE116" s="24"/>
      <c r="BF116" s="24"/>
    </row>
    <row r="117" spans="2:58" ht="15" customHeight="1" x14ac:dyDescent="0.3">
      <c r="B117" s="5" t="s">
        <v>21</v>
      </c>
      <c r="C117" s="5"/>
      <c r="D117" s="5"/>
      <c r="E117" s="5"/>
      <c r="F117" s="5"/>
      <c r="G117" s="5"/>
      <c r="AM117" s="19" t="s">
        <v>134</v>
      </c>
      <c r="AN117" s="19" t="s">
        <v>135</v>
      </c>
      <c r="AP117" s="19" t="s">
        <v>238</v>
      </c>
      <c r="AQ117" s="19" t="s">
        <v>274</v>
      </c>
      <c r="AR117" s="19" t="s">
        <v>308</v>
      </c>
      <c r="AS117" s="19" t="s">
        <v>68</v>
      </c>
      <c r="AY117" s="24"/>
      <c r="AZ117" s="24"/>
      <c r="BA117" s="24"/>
      <c r="BB117" s="24"/>
      <c r="BC117" s="24"/>
      <c r="BD117" s="24"/>
      <c r="BE117" s="24"/>
      <c r="BF117" s="24"/>
    </row>
    <row r="118" spans="2:58" ht="15" customHeight="1" x14ac:dyDescent="0.3">
      <c r="B118" s="187"/>
      <c r="C118" s="188"/>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c r="AI118" s="188"/>
      <c r="AJ118" s="188"/>
      <c r="AK118" s="189"/>
      <c r="AY118" s="24"/>
      <c r="AZ118" s="24"/>
      <c r="BA118" s="24"/>
      <c r="BB118" s="24"/>
      <c r="BC118" s="24"/>
      <c r="BD118" s="24"/>
      <c r="BE118" s="24"/>
      <c r="BF118" s="24"/>
    </row>
    <row r="119" spans="2:58" ht="15" customHeight="1" x14ac:dyDescent="0.3">
      <c r="B119" s="190"/>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1"/>
      <c r="AI119" s="191"/>
      <c r="AJ119" s="191"/>
      <c r="AK119" s="192"/>
      <c r="AU119" s="25"/>
      <c r="AY119" s="24"/>
      <c r="AZ119" s="24"/>
      <c r="BA119" s="24"/>
      <c r="BB119" s="24"/>
      <c r="BC119" s="24"/>
      <c r="BD119" s="24"/>
      <c r="BE119" s="24"/>
      <c r="BF119" s="24"/>
    </row>
    <row r="120" spans="2:58" ht="15" customHeight="1" x14ac:dyDescent="0.3">
      <c r="B120" s="190"/>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1"/>
      <c r="AI120" s="191"/>
      <c r="AJ120" s="191"/>
      <c r="AK120" s="192"/>
      <c r="AU120" s="25"/>
      <c r="AY120" s="24"/>
      <c r="AZ120" s="24"/>
      <c r="BA120" s="24"/>
      <c r="BB120" s="24"/>
      <c r="BC120" s="24"/>
      <c r="BD120" s="24"/>
      <c r="BE120" s="24"/>
      <c r="BF120" s="24"/>
    </row>
    <row r="121" spans="2:58" ht="15" customHeight="1" x14ac:dyDescent="0.3">
      <c r="B121" s="190"/>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191"/>
      <c r="AE121" s="191"/>
      <c r="AF121" s="191"/>
      <c r="AG121" s="191"/>
      <c r="AH121" s="191"/>
      <c r="AI121" s="191"/>
      <c r="AJ121" s="191"/>
      <c r="AK121" s="192"/>
      <c r="AU121" s="25"/>
      <c r="AY121" s="24"/>
      <c r="AZ121" s="24"/>
      <c r="BA121" s="24"/>
      <c r="BB121" s="24"/>
      <c r="BC121" s="24"/>
      <c r="BD121" s="24"/>
      <c r="BE121" s="24"/>
      <c r="BF121" s="24"/>
    </row>
    <row r="122" spans="2:58" ht="15" customHeight="1" x14ac:dyDescent="0.3">
      <c r="B122" s="190"/>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2"/>
      <c r="AU122" s="23"/>
      <c r="AY122" s="24"/>
      <c r="AZ122" s="24"/>
      <c r="BA122" s="24"/>
      <c r="BB122" s="24"/>
      <c r="BC122" s="24"/>
      <c r="BD122" s="24"/>
      <c r="BE122" s="24"/>
      <c r="BF122" s="24"/>
    </row>
    <row r="123" spans="2:58" ht="15" customHeight="1" x14ac:dyDescent="0.3">
      <c r="B123" s="190"/>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2"/>
      <c r="AY123" s="24"/>
      <c r="AZ123" s="24"/>
      <c r="BA123" s="24"/>
      <c r="BB123" s="24"/>
      <c r="BC123" s="24"/>
      <c r="BD123" s="24"/>
      <c r="BE123" s="24"/>
      <c r="BF123" s="24"/>
    </row>
    <row r="124" spans="2:58" ht="15" customHeight="1" x14ac:dyDescent="0.3">
      <c r="B124" s="190"/>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191"/>
      <c r="AJ124" s="191"/>
      <c r="AK124" s="192"/>
      <c r="AY124" s="24"/>
      <c r="AZ124" s="24"/>
      <c r="BA124" s="24"/>
      <c r="BB124" s="24"/>
      <c r="BC124" s="24"/>
      <c r="BD124" s="24"/>
      <c r="BE124" s="24"/>
      <c r="BF124" s="24"/>
    </row>
    <row r="125" spans="2:58" ht="15" customHeight="1" x14ac:dyDescent="0.3">
      <c r="B125" s="193"/>
      <c r="C125" s="194"/>
      <c r="D125" s="194"/>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c r="AG125" s="194"/>
      <c r="AH125" s="194"/>
      <c r="AI125" s="194"/>
      <c r="AJ125" s="194"/>
      <c r="AK125" s="195"/>
      <c r="AY125" s="24"/>
      <c r="AZ125" s="24"/>
      <c r="BA125" s="24"/>
      <c r="BB125" s="24"/>
      <c r="BC125" s="24"/>
      <c r="BD125" s="24"/>
      <c r="BE125" s="24"/>
      <c r="BF125" s="24"/>
    </row>
    <row r="126" spans="2:58" ht="4.95" customHeight="1" x14ac:dyDescent="0.3">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row>
    <row r="127" spans="2:58" ht="15" customHeight="1" x14ac:dyDescent="0.3">
      <c r="B127" s="1" t="s">
        <v>116</v>
      </c>
      <c r="C127" s="1"/>
      <c r="D127" s="1"/>
      <c r="E127" s="1"/>
      <c r="F127" s="1"/>
      <c r="G127" s="1"/>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row>
    <row r="128" spans="2:58" ht="15" customHeight="1" x14ac:dyDescent="0.3">
      <c r="C128" s="2"/>
      <c r="E128" s="2" t="s">
        <v>118</v>
      </c>
      <c r="F128" s="172"/>
      <c r="G128" s="172"/>
      <c r="H128" s="172"/>
      <c r="I128" s="172"/>
      <c r="J128" s="172"/>
      <c r="K128" s="172"/>
      <c r="L128" s="172"/>
      <c r="M128" s="172"/>
      <c r="N128" s="172"/>
      <c r="O128" s="172"/>
      <c r="P128" s="172"/>
      <c r="Q128" s="172"/>
      <c r="R128" s="172"/>
      <c r="S128" s="172"/>
      <c r="T128" s="172"/>
      <c r="U128" s="172"/>
      <c r="V128" s="172"/>
    </row>
    <row r="129" spans="2:47" ht="15" customHeight="1" x14ac:dyDescent="0.3">
      <c r="C129" s="2"/>
      <c r="E129" s="2" t="s">
        <v>119</v>
      </c>
      <c r="F129" s="210"/>
      <c r="G129" s="210"/>
      <c r="H129" s="210"/>
      <c r="I129" s="210"/>
      <c r="J129" s="210"/>
      <c r="K129" s="210"/>
      <c r="L129" s="210"/>
      <c r="M129" s="210"/>
      <c r="N129" s="210"/>
      <c r="O129" s="210"/>
      <c r="P129" s="210"/>
      <c r="Q129" s="210"/>
      <c r="R129" s="210"/>
      <c r="S129" s="210"/>
      <c r="T129" s="210"/>
      <c r="U129" s="210"/>
      <c r="V129" s="210"/>
      <c r="W129" s="4"/>
      <c r="X129" s="4"/>
      <c r="Y129" s="4"/>
      <c r="Z129" s="4"/>
      <c r="AA129" s="4"/>
      <c r="AB129" s="4"/>
      <c r="AC129" s="4"/>
      <c r="AD129" s="4"/>
      <c r="AE129" s="4"/>
      <c r="AF129" s="4"/>
      <c r="AG129" s="4"/>
      <c r="AH129" s="4"/>
      <c r="AI129" s="4"/>
      <c r="AJ129" s="4"/>
      <c r="AK129" s="4"/>
    </row>
    <row r="130" spans="2:47" ht="15" customHeight="1" x14ac:dyDescent="0.3">
      <c r="C130" s="2"/>
      <c r="E130" s="2" t="s">
        <v>249</v>
      </c>
      <c r="F130" s="210"/>
      <c r="G130" s="210"/>
      <c r="H130" s="210"/>
      <c r="I130" s="210"/>
      <c r="J130" s="210"/>
      <c r="K130" s="210"/>
      <c r="L130" s="210"/>
      <c r="M130" s="210"/>
      <c r="N130" s="210"/>
      <c r="O130" s="210"/>
      <c r="P130" s="210"/>
      <c r="Q130" s="210"/>
      <c r="R130" s="210"/>
      <c r="S130" s="210"/>
      <c r="T130" s="210"/>
      <c r="U130" s="210"/>
      <c r="V130" s="210"/>
      <c r="X130" s="2"/>
      <c r="Y130" s="2" t="s">
        <v>122</v>
      </c>
      <c r="Z130" s="178"/>
      <c r="AA130" s="178"/>
      <c r="AB130" s="178"/>
      <c r="AC130" s="178"/>
      <c r="AF130" s="2"/>
      <c r="AG130" s="2" t="s">
        <v>123</v>
      </c>
      <c r="AH130" s="178"/>
      <c r="AI130" s="178"/>
      <c r="AJ130" s="178"/>
      <c r="AK130" s="178"/>
    </row>
    <row r="131" spans="2:47" ht="15" customHeight="1" x14ac:dyDescent="0.3">
      <c r="C131" s="2"/>
      <c r="E131" s="2" t="s">
        <v>298</v>
      </c>
      <c r="F131" s="172"/>
      <c r="G131" s="172"/>
      <c r="H131" s="172"/>
      <c r="I131" s="172"/>
      <c r="J131" s="172"/>
      <c r="K131" s="172"/>
      <c r="L131" s="172"/>
      <c r="M131" s="172"/>
      <c r="N131" s="172"/>
      <c r="O131" s="172"/>
      <c r="P131" s="172"/>
      <c r="Q131" s="172"/>
      <c r="R131" s="172"/>
      <c r="S131" s="172"/>
      <c r="T131" s="172"/>
      <c r="U131" s="172"/>
      <c r="V131" s="172"/>
      <c r="X131" s="2"/>
      <c r="Y131" s="2" t="s">
        <v>125</v>
      </c>
      <c r="Z131" s="172"/>
      <c r="AA131" s="172"/>
      <c r="AB131" s="172"/>
      <c r="AC131" s="172"/>
      <c r="AD131" s="172"/>
      <c r="AE131" s="172"/>
      <c r="AF131" s="172"/>
      <c r="AG131" s="172"/>
      <c r="AH131" s="172"/>
      <c r="AI131" s="172"/>
      <c r="AJ131" s="172"/>
      <c r="AK131" s="172"/>
      <c r="AL131" s="2"/>
      <c r="AT131" s="2"/>
      <c r="AU131" s="2"/>
    </row>
    <row r="132" spans="2:47" ht="15" customHeight="1" x14ac:dyDescent="0.3">
      <c r="C132" s="2"/>
      <c r="E132" s="2" t="s">
        <v>120</v>
      </c>
      <c r="F132" s="233"/>
      <c r="G132" s="233"/>
      <c r="H132" s="233"/>
      <c r="I132" s="233"/>
      <c r="J132" s="233"/>
      <c r="K132" s="233"/>
      <c r="L132" s="233"/>
      <c r="M132" s="233"/>
      <c r="N132" s="233"/>
      <c r="O132" s="233"/>
      <c r="P132" s="233"/>
      <c r="Q132" s="233"/>
      <c r="R132" s="233"/>
      <c r="S132" s="233"/>
      <c r="T132" s="233"/>
      <c r="U132" s="233"/>
      <c r="V132" s="233"/>
      <c r="X132" s="9"/>
      <c r="Y132" s="9"/>
      <c r="Z132" s="9"/>
      <c r="AA132" s="9"/>
      <c r="AB132" s="9"/>
      <c r="AC132" s="9"/>
      <c r="AF132" s="2" t="s">
        <v>124</v>
      </c>
      <c r="AG132" s="238"/>
      <c r="AH132" s="238"/>
      <c r="AI132" s="238"/>
      <c r="AJ132" s="238"/>
      <c r="AK132" s="238"/>
    </row>
    <row r="133" spans="2:47" ht="4.95" customHeight="1" x14ac:dyDescent="0.3">
      <c r="B133" s="2"/>
      <c r="C133" s="2"/>
      <c r="D133" s="2"/>
      <c r="E133" s="2"/>
      <c r="F133" s="2"/>
      <c r="G133" s="2"/>
      <c r="H133" s="36"/>
      <c r="I133" s="36"/>
      <c r="J133" s="36"/>
      <c r="K133" s="36"/>
      <c r="L133" s="36"/>
      <c r="M133" s="36"/>
      <c r="N133" s="36"/>
      <c r="O133" s="36"/>
      <c r="P133" s="36"/>
      <c r="Q133" s="36"/>
      <c r="R133" s="36"/>
      <c r="S133" s="36"/>
      <c r="T133" s="36"/>
      <c r="U133" s="36"/>
      <c r="V133" s="36"/>
      <c r="X133" s="4"/>
      <c r="Y133" s="4"/>
      <c r="Z133" s="4"/>
      <c r="AA133" s="4"/>
      <c r="AB133" s="4"/>
      <c r="AC133" s="4"/>
      <c r="AD133" s="2"/>
      <c r="AE133" s="4"/>
      <c r="AF133" s="4"/>
      <c r="AG133" s="4"/>
      <c r="AH133" s="4"/>
      <c r="AI133" s="4"/>
      <c r="AJ133" s="4"/>
      <c r="AK133" s="4"/>
    </row>
    <row r="134" spans="2:47" ht="15" customHeight="1" x14ac:dyDescent="0.3">
      <c r="B134" s="1" t="s">
        <v>242</v>
      </c>
      <c r="C134" s="1"/>
      <c r="D134" s="1"/>
      <c r="E134" s="1"/>
      <c r="F134" s="1"/>
      <c r="G134" s="1"/>
      <c r="H134" s="4"/>
      <c r="I134" s="4"/>
      <c r="J134" s="4"/>
      <c r="K134" s="4"/>
      <c r="L134" s="4"/>
      <c r="M134" s="4"/>
      <c r="N134" s="4"/>
      <c r="O134" s="4"/>
      <c r="P134" s="4"/>
      <c r="Q134" s="4"/>
      <c r="R134" s="4"/>
      <c r="S134" s="4"/>
      <c r="T134" s="4"/>
      <c r="U134" s="4"/>
      <c r="V134" s="4"/>
      <c r="X134" s="4"/>
      <c r="Y134" s="4"/>
      <c r="Z134" s="156"/>
      <c r="AA134" s="25" t="s">
        <v>117</v>
      </c>
      <c r="AB134" s="4"/>
      <c r="AC134" s="4"/>
      <c r="AH134" s="4"/>
      <c r="AI134" s="4"/>
      <c r="AJ134" s="4"/>
      <c r="AK134" s="4"/>
      <c r="AM134" s="83">
        <f>IF(ISBLANK(Z134),1,2)</f>
        <v>1</v>
      </c>
    </row>
    <row r="135" spans="2:47" ht="15" customHeight="1" x14ac:dyDescent="0.3">
      <c r="C135" s="2"/>
      <c r="E135" s="2" t="s">
        <v>121</v>
      </c>
      <c r="F135" s="172"/>
      <c r="G135" s="172"/>
      <c r="H135" s="172"/>
      <c r="I135" s="172"/>
      <c r="J135" s="172"/>
      <c r="K135" s="172"/>
      <c r="L135" s="172"/>
      <c r="M135" s="172"/>
      <c r="N135" s="172"/>
      <c r="O135" s="172"/>
      <c r="P135" s="172"/>
      <c r="Q135" s="172"/>
      <c r="R135" s="172"/>
      <c r="S135" s="172"/>
      <c r="T135" s="172"/>
      <c r="U135" s="172"/>
      <c r="V135" s="172"/>
      <c r="AM135" s="83">
        <f>IF(AND(ISBLANK(F135),ISBLANK(F136),ISBLANK(F137),ISBLANK(F138),ISBLANK(F139),ISBLANK(Z137),ISBLANK(AH137),ISBLANK(Z138),ISBLANK(AG139)),1,2)</f>
        <v>1</v>
      </c>
    </row>
    <row r="136" spans="2:47" ht="15" customHeight="1" x14ac:dyDescent="0.3">
      <c r="C136" s="2"/>
      <c r="E136" s="2" t="s">
        <v>119</v>
      </c>
      <c r="F136" s="210"/>
      <c r="G136" s="210"/>
      <c r="H136" s="210"/>
      <c r="I136" s="210"/>
      <c r="J136" s="210"/>
      <c r="K136" s="210"/>
      <c r="L136" s="210"/>
      <c r="M136" s="210"/>
      <c r="N136" s="210"/>
      <c r="O136" s="210"/>
      <c r="P136" s="210"/>
      <c r="Q136" s="210"/>
      <c r="R136" s="210"/>
      <c r="S136" s="210"/>
      <c r="T136" s="210"/>
      <c r="U136" s="210"/>
      <c r="V136" s="210"/>
      <c r="AE136" s="4"/>
      <c r="AF136" s="4"/>
      <c r="AG136" s="4"/>
      <c r="AH136" s="4"/>
      <c r="AI136" s="4"/>
      <c r="AJ136" s="4"/>
      <c r="AK136" s="4"/>
    </row>
    <row r="137" spans="2:47" ht="15" customHeight="1" x14ac:dyDescent="0.3">
      <c r="C137" s="2"/>
      <c r="E137" s="2" t="s">
        <v>249</v>
      </c>
      <c r="F137" s="210"/>
      <c r="G137" s="210"/>
      <c r="H137" s="210"/>
      <c r="I137" s="210"/>
      <c r="J137" s="210"/>
      <c r="K137" s="210"/>
      <c r="L137" s="210"/>
      <c r="M137" s="210"/>
      <c r="N137" s="210"/>
      <c r="O137" s="210"/>
      <c r="P137" s="210"/>
      <c r="Q137" s="210"/>
      <c r="R137" s="210"/>
      <c r="S137" s="210"/>
      <c r="T137" s="210"/>
      <c r="U137" s="210"/>
      <c r="V137" s="210"/>
      <c r="X137" s="2"/>
      <c r="Y137" s="2" t="s">
        <v>122</v>
      </c>
      <c r="Z137" s="178"/>
      <c r="AA137" s="178"/>
      <c r="AB137" s="178"/>
      <c r="AC137" s="178"/>
      <c r="AF137" s="2"/>
      <c r="AG137" s="2" t="s">
        <v>123</v>
      </c>
      <c r="AH137" s="178"/>
      <c r="AI137" s="178"/>
      <c r="AJ137" s="178"/>
      <c r="AK137" s="178"/>
    </row>
    <row r="138" spans="2:47" ht="15" customHeight="1" x14ac:dyDescent="0.3">
      <c r="C138" s="2"/>
      <c r="E138" s="2" t="s">
        <v>298</v>
      </c>
      <c r="F138" s="172"/>
      <c r="G138" s="172"/>
      <c r="H138" s="172"/>
      <c r="I138" s="172"/>
      <c r="J138" s="172"/>
      <c r="K138" s="172"/>
      <c r="L138" s="172"/>
      <c r="M138" s="172"/>
      <c r="N138" s="172"/>
      <c r="O138" s="172"/>
      <c r="P138" s="172"/>
      <c r="Q138" s="172"/>
      <c r="R138" s="172"/>
      <c r="S138" s="172"/>
      <c r="T138" s="172"/>
      <c r="U138" s="172"/>
      <c r="V138" s="172"/>
      <c r="W138" s="4"/>
      <c r="X138" s="4"/>
      <c r="Y138" s="2" t="s">
        <v>125</v>
      </c>
      <c r="Z138" s="172"/>
      <c r="AA138" s="172"/>
      <c r="AB138" s="172"/>
      <c r="AC138" s="172"/>
      <c r="AD138" s="172"/>
      <c r="AE138" s="172"/>
      <c r="AF138" s="172"/>
      <c r="AG138" s="172"/>
      <c r="AH138" s="172"/>
      <c r="AI138" s="172"/>
      <c r="AJ138" s="172"/>
      <c r="AK138" s="172"/>
    </row>
    <row r="139" spans="2:47" ht="15" customHeight="1" x14ac:dyDescent="0.3">
      <c r="C139" s="2"/>
      <c r="E139" s="2" t="s">
        <v>120</v>
      </c>
      <c r="F139" s="233"/>
      <c r="G139" s="233"/>
      <c r="H139" s="233"/>
      <c r="I139" s="233"/>
      <c r="J139" s="233"/>
      <c r="K139" s="233"/>
      <c r="L139" s="233"/>
      <c r="M139" s="233"/>
      <c r="N139" s="233"/>
      <c r="O139" s="233"/>
      <c r="P139" s="233"/>
      <c r="Q139" s="233"/>
      <c r="R139" s="233"/>
      <c r="S139" s="233"/>
      <c r="T139" s="233"/>
      <c r="U139" s="233"/>
      <c r="V139" s="233"/>
      <c r="AF139" s="2" t="s">
        <v>124</v>
      </c>
      <c r="AG139" s="238"/>
      <c r="AH139" s="238"/>
      <c r="AI139" s="238"/>
      <c r="AJ139" s="238"/>
      <c r="AK139" s="238"/>
    </row>
    <row r="140" spans="2:47" ht="15" customHeight="1" x14ac:dyDescent="0.3">
      <c r="AK140" s="27"/>
    </row>
    <row r="141" spans="2:47" ht="15" customHeight="1" x14ac:dyDescent="0.3">
      <c r="B141" s="181">
        <f>Tables!$F$13</f>
        <v>46266</v>
      </c>
      <c r="C141" s="181"/>
      <c r="D141" s="181"/>
      <c r="E141" s="181"/>
      <c r="F141" s="181"/>
      <c r="G141" s="181"/>
      <c r="H141" s="181"/>
      <c r="R141" s="182" t="s">
        <v>293</v>
      </c>
      <c r="S141" s="182"/>
      <c r="T141" s="182"/>
      <c r="U141" s="182"/>
      <c r="AK141" s="27"/>
    </row>
    <row r="142" spans="2:47" ht="15" customHeight="1" x14ac:dyDescent="0.3">
      <c r="C142" s="2" t="s">
        <v>1</v>
      </c>
      <c r="D142" s="179">
        <f>IF(ISBLANK($E$7),"",$E$7)</f>
        <v>0</v>
      </c>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c r="AA142" s="32"/>
      <c r="AB142" s="32"/>
      <c r="AC142" s="32"/>
      <c r="AF142" s="2" t="s">
        <v>20</v>
      </c>
      <c r="AG142" s="200">
        <f>$AF$7</f>
        <v>0</v>
      </c>
      <c r="AH142" s="200"/>
      <c r="AI142" s="200"/>
      <c r="AJ142" s="200"/>
      <c r="AK142" s="200"/>
    </row>
    <row r="143" spans="2:47" ht="15" customHeight="1" x14ac:dyDescent="0.3">
      <c r="H143" s="33"/>
      <c r="I143" s="33"/>
      <c r="J143" s="2"/>
      <c r="K143" s="2"/>
      <c r="L143" s="2"/>
      <c r="M143" s="33"/>
      <c r="N143" s="32"/>
      <c r="O143" s="32"/>
      <c r="P143" s="32"/>
      <c r="Q143" s="32"/>
      <c r="R143" s="32"/>
      <c r="S143" s="32"/>
      <c r="T143" s="32"/>
      <c r="U143" s="32"/>
      <c r="V143" s="32"/>
      <c r="W143" s="32"/>
      <c r="X143" s="32"/>
      <c r="Y143" s="32"/>
      <c r="Z143" s="32"/>
      <c r="AA143" s="32"/>
      <c r="AB143" s="32"/>
      <c r="AC143" s="32"/>
      <c r="AF143" s="2" t="s">
        <v>31</v>
      </c>
      <c r="AG143" s="231">
        <f>IF(ISBLANK($AF$8),"",$AF$8)</f>
        <v>0</v>
      </c>
      <c r="AH143" s="231"/>
      <c r="AI143" s="231"/>
      <c r="AJ143" s="231"/>
      <c r="AK143" s="231"/>
    </row>
    <row r="144" spans="2:47" ht="15" customHeight="1" x14ac:dyDescent="0.3">
      <c r="S144" s="52"/>
      <c r="T144" s="52"/>
    </row>
    <row r="145" spans="2:42" ht="15" customHeight="1" x14ac:dyDescent="0.3">
      <c r="B145" s="1" t="s">
        <v>283</v>
      </c>
      <c r="F145" s="33"/>
      <c r="G145" s="33"/>
      <c r="H145" s="25" t="s">
        <v>549</v>
      </c>
      <c r="I145" s="33"/>
      <c r="J145" s="33"/>
      <c r="K145" s="2"/>
      <c r="L145" s="2"/>
      <c r="M145" s="2"/>
      <c r="N145" s="2"/>
      <c r="O145" s="33"/>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M145" s="10"/>
      <c r="AN145" s="10"/>
    </row>
    <row r="146" spans="2:42" ht="15" customHeight="1" x14ac:dyDescent="0.3">
      <c r="C146" s="25" t="s">
        <v>143</v>
      </c>
      <c r="E146" s="25" t="s">
        <v>127</v>
      </c>
      <c r="AM146" s="83">
        <f>SUM(AM150:AM170)</f>
        <v>11</v>
      </c>
      <c r="AP146" s="83">
        <f>SUM(AP150:AP170)</f>
        <v>0</v>
      </c>
    </row>
    <row r="147" spans="2:42" ht="4.95" customHeight="1" x14ac:dyDescent="0.3"/>
    <row r="148" spans="2:42" ht="15" customHeight="1" x14ac:dyDescent="0.3">
      <c r="C148" s="156"/>
      <c r="E148" s="156"/>
      <c r="G148" s="25" t="s">
        <v>284</v>
      </c>
      <c r="X148" s="25" t="s">
        <v>285</v>
      </c>
      <c r="AC148" s="25" t="s">
        <v>286</v>
      </c>
      <c r="AM148" s="83">
        <f>IF(AND(ISBLANK(C148),ISBLANK(E148)),1,0)</f>
        <v>1</v>
      </c>
      <c r="AN148" s="83">
        <f>IF(ISBLANK(E148),1,2)</f>
        <v>1</v>
      </c>
      <c r="AO148" s="83">
        <f>IF(ISBLANK(C148),1,2)</f>
        <v>1</v>
      </c>
      <c r="AP148" s="83">
        <f>IF(ISBLANK(E148),0,1)</f>
        <v>0</v>
      </c>
    </row>
    <row r="149" spans="2:42" ht="4.95" customHeight="1" x14ac:dyDescent="0.3"/>
    <row r="150" spans="2:42" ht="15" customHeight="1" x14ac:dyDescent="0.3">
      <c r="C150" s="156"/>
      <c r="E150" s="156"/>
      <c r="G150" s="25" t="s">
        <v>386</v>
      </c>
      <c r="Y150" s="178"/>
      <c r="Z150" s="178"/>
      <c r="AC150" s="239"/>
      <c r="AD150" s="239"/>
      <c r="AE150" s="239"/>
      <c r="AF150" s="239"/>
      <c r="AG150" s="239"/>
      <c r="AH150" s="239"/>
      <c r="AI150" s="239"/>
      <c r="AM150" s="83">
        <f>IF(AND(ISBLANK(C150),ISBLANK(E150)),1,2)</f>
        <v>1</v>
      </c>
      <c r="AN150" s="83">
        <f>IF(ISBLANK(E150),1,2)</f>
        <v>1</v>
      </c>
      <c r="AO150" s="83">
        <f>IF(ISBLANK(C150),1,2)</f>
        <v>1</v>
      </c>
      <c r="AP150" s="83">
        <f>IF(ISBLANK(E150),0,1)</f>
        <v>0</v>
      </c>
    </row>
    <row r="151" spans="2:42" ht="4.95" customHeight="1" x14ac:dyDescent="0.3"/>
    <row r="152" spans="2:42" ht="15" customHeight="1" x14ac:dyDescent="0.3">
      <c r="C152" s="156"/>
      <c r="E152" s="156"/>
      <c r="G152" s="25" t="s">
        <v>387</v>
      </c>
      <c r="Y152" s="178"/>
      <c r="Z152" s="178"/>
      <c r="AC152" s="239"/>
      <c r="AD152" s="239"/>
      <c r="AE152" s="239"/>
      <c r="AF152" s="239"/>
      <c r="AG152" s="239"/>
      <c r="AH152" s="239"/>
      <c r="AI152" s="239"/>
      <c r="AM152" s="83">
        <f>IF(AND(ISBLANK(C152),ISBLANK(E152)),1,2)</f>
        <v>1</v>
      </c>
      <c r="AN152" s="83">
        <f>IF(ISBLANK(E152),1,2)</f>
        <v>1</v>
      </c>
      <c r="AO152" s="83">
        <f>IF(ISBLANK(C152),1,2)</f>
        <v>1</v>
      </c>
      <c r="AP152" s="83">
        <f>IF(ISBLANK(E152),0,1)</f>
        <v>0</v>
      </c>
    </row>
    <row r="153" spans="2:42" ht="4.95" customHeight="1" x14ac:dyDescent="0.3"/>
    <row r="154" spans="2:42" ht="15" customHeight="1" x14ac:dyDescent="0.3">
      <c r="C154" s="156"/>
      <c r="E154" s="156"/>
      <c r="G154" s="25" t="s">
        <v>392</v>
      </c>
      <c r="Y154" s="178"/>
      <c r="Z154" s="178"/>
      <c r="AC154" s="239"/>
      <c r="AD154" s="239"/>
      <c r="AE154" s="239"/>
      <c r="AF154" s="239"/>
      <c r="AG154" s="239"/>
      <c r="AH154" s="239"/>
      <c r="AI154" s="239"/>
      <c r="AM154" s="83">
        <f>IF(AND(ISBLANK(C154),ISBLANK(E154)),1,2)</f>
        <v>1</v>
      </c>
      <c r="AN154" s="83">
        <f>IF(ISBLANK(E154),1,2)</f>
        <v>1</v>
      </c>
      <c r="AO154" s="83">
        <f>IF(ISBLANK(C154),1,2)</f>
        <v>1</v>
      </c>
      <c r="AP154" s="83">
        <f>IF(ISBLANK(E154),0,1)</f>
        <v>0</v>
      </c>
    </row>
    <row r="155" spans="2:42" ht="4.95" customHeight="1" x14ac:dyDescent="0.3"/>
    <row r="156" spans="2:42" ht="15" customHeight="1" x14ac:dyDescent="0.3">
      <c r="C156" s="156"/>
      <c r="E156" s="156"/>
      <c r="G156" s="25" t="s">
        <v>388</v>
      </c>
      <c r="Y156" s="178"/>
      <c r="Z156" s="178"/>
      <c r="AC156" s="239"/>
      <c r="AD156" s="239"/>
      <c r="AE156" s="239"/>
      <c r="AF156" s="239"/>
      <c r="AG156" s="239"/>
      <c r="AH156" s="239"/>
      <c r="AI156" s="239"/>
      <c r="AM156" s="83">
        <f>IF(AND(ISBLANK(C156),ISBLANK(E156)),1,2)</f>
        <v>1</v>
      </c>
      <c r="AN156" s="83">
        <f>IF(ISBLANK(E156),1,2)</f>
        <v>1</v>
      </c>
      <c r="AO156" s="83">
        <f>IF(ISBLANK(C156),1,2)</f>
        <v>1</v>
      </c>
      <c r="AP156" s="83">
        <f>IF(ISBLANK(E156),0,1)</f>
        <v>0</v>
      </c>
    </row>
    <row r="157" spans="2:42" ht="4.95" customHeight="1" x14ac:dyDescent="0.3">
      <c r="C157" s="33"/>
      <c r="E157" s="2"/>
      <c r="J157" s="33"/>
      <c r="K157" s="32"/>
      <c r="L157" s="32"/>
      <c r="M157" s="32"/>
      <c r="N157" s="32"/>
      <c r="O157" s="32"/>
      <c r="X157" s="32"/>
      <c r="Y157" s="32"/>
      <c r="Z157" s="32"/>
      <c r="AA157" s="32"/>
      <c r="AB157" s="32"/>
      <c r="AC157" s="32"/>
      <c r="AD157" s="32"/>
      <c r="AE157" s="32"/>
      <c r="AF157" s="32"/>
      <c r="AG157" s="32"/>
      <c r="AH157" s="32"/>
      <c r="AI157" s="32"/>
      <c r="AJ157" s="32"/>
      <c r="AK157" s="32"/>
      <c r="AM157" s="10"/>
      <c r="AN157" s="10"/>
    </row>
    <row r="158" spans="2:42" ht="15" customHeight="1" x14ac:dyDescent="0.3">
      <c r="C158" s="156"/>
      <c r="E158" s="156"/>
      <c r="G158" s="25" t="s">
        <v>389</v>
      </c>
      <c r="Y158" s="178"/>
      <c r="Z158" s="178"/>
      <c r="AC158" s="239"/>
      <c r="AD158" s="239"/>
      <c r="AE158" s="239"/>
      <c r="AF158" s="239"/>
      <c r="AG158" s="239"/>
      <c r="AH158" s="239"/>
      <c r="AI158" s="239"/>
      <c r="AM158" s="83">
        <f>IF(AND(ISBLANK(C158),ISBLANK(E158)),1,2)</f>
        <v>1</v>
      </c>
      <c r="AN158" s="83">
        <f>IF(ISBLANK(E158),1,2)</f>
        <v>1</v>
      </c>
      <c r="AO158" s="83">
        <f>IF(ISBLANK(C158),1,2)</f>
        <v>1</v>
      </c>
      <c r="AP158" s="83">
        <f>IF(ISBLANK(E158),0,1)</f>
        <v>0</v>
      </c>
    </row>
    <row r="159" spans="2:42" ht="4.95" customHeight="1" x14ac:dyDescent="0.3">
      <c r="C159" s="33"/>
      <c r="E159" s="2"/>
      <c r="J159" s="33"/>
      <c r="K159" s="32"/>
      <c r="L159" s="32"/>
      <c r="M159" s="32"/>
      <c r="N159" s="32"/>
      <c r="O159" s="32"/>
      <c r="X159" s="32"/>
      <c r="Y159" s="32"/>
      <c r="Z159" s="32"/>
      <c r="AA159" s="32"/>
      <c r="AB159" s="32"/>
      <c r="AC159" s="32"/>
      <c r="AD159" s="32"/>
      <c r="AE159" s="32"/>
      <c r="AF159" s="32"/>
      <c r="AG159" s="32"/>
      <c r="AH159" s="32"/>
      <c r="AI159" s="32"/>
      <c r="AJ159" s="32"/>
      <c r="AK159" s="32"/>
      <c r="AM159" s="10"/>
      <c r="AN159" s="10"/>
    </row>
    <row r="160" spans="2:42" ht="15" customHeight="1" x14ac:dyDescent="0.3">
      <c r="C160" s="156"/>
      <c r="E160" s="156"/>
      <c r="G160" s="25" t="s">
        <v>390</v>
      </c>
      <c r="Y160" s="178"/>
      <c r="Z160" s="178"/>
      <c r="AC160" s="239"/>
      <c r="AD160" s="239"/>
      <c r="AE160" s="239"/>
      <c r="AF160" s="239"/>
      <c r="AG160" s="239"/>
      <c r="AH160" s="239"/>
      <c r="AI160" s="239"/>
      <c r="AM160" s="83">
        <f>IF(AND(ISBLANK(C160),ISBLANK(E160)),1,2)</f>
        <v>1</v>
      </c>
      <c r="AN160" s="83">
        <f>IF(ISBLANK(E160),1,2)</f>
        <v>1</v>
      </c>
      <c r="AO160" s="83">
        <f>IF(ISBLANK(C160),1,2)</f>
        <v>1</v>
      </c>
      <c r="AP160" s="83">
        <f>IF(ISBLANK(E160),0,1)</f>
        <v>0</v>
      </c>
    </row>
    <row r="161" spans="2:42" ht="4.95" customHeight="1" x14ac:dyDescent="0.3">
      <c r="C161" s="33"/>
      <c r="E161" s="2"/>
      <c r="J161" s="33"/>
      <c r="K161" s="32"/>
      <c r="L161" s="32"/>
      <c r="M161" s="32"/>
      <c r="N161" s="32"/>
      <c r="O161" s="32"/>
      <c r="X161" s="32"/>
      <c r="Y161" s="32"/>
      <c r="Z161" s="32"/>
      <c r="AA161" s="32"/>
      <c r="AB161" s="32"/>
      <c r="AC161" s="32"/>
      <c r="AD161" s="32"/>
      <c r="AE161" s="32"/>
      <c r="AF161" s="32"/>
      <c r="AG161" s="32"/>
      <c r="AH161" s="32"/>
      <c r="AI161" s="32"/>
      <c r="AJ161" s="32"/>
      <c r="AK161" s="32"/>
      <c r="AM161" s="10"/>
      <c r="AN161" s="10"/>
    </row>
    <row r="162" spans="2:42" ht="15" customHeight="1" x14ac:dyDescent="0.3">
      <c r="C162" s="156"/>
      <c r="E162" s="156"/>
      <c r="G162" s="25" t="s">
        <v>289</v>
      </c>
      <c r="Y162" s="178"/>
      <c r="Z162" s="178"/>
      <c r="AC162" s="239"/>
      <c r="AD162" s="239"/>
      <c r="AE162" s="239"/>
      <c r="AF162" s="239"/>
      <c r="AG162" s="239"/>
      <c r="AH162" s="239"/>
      <c r="AI162" s="239"/>
      <c r="AM162" s="83">
        <f>IF(AND(ISBLANK(C162),ISBLANK(E162)),1,2)</f>
        <v>1</v>
      </c>
      <c r="AN162" s="83">
        <f>IF(ISBLANK(E162),1,2)</f>
        <v>1</v>
      </c>
      <c r="AO162" s="83">
        <f>IF(ISBLANK(C162),1,2)</f>
        <v>1</v>
      </c>
      <c r="AP162" s="83">
        <f>IF(ISBLANK(E162),0,1)</f>
        <v>0</v>
      </c>
    </row>
    <row r="163" spans="2:42" ht="4.95" customHeight="1" x14ac:dyDescent="0.3">
      <c r="C163" s="33"/>
      <c r="E163" s="2"/>
      <c r="J163" s="33"/>
      <c r="K163" s="32"/>
      <c r="L163" s="32"/>
      <c r="M163" s="32"/>
      <c r="N163" s="32"/>
      <c r="O163" s="32"/>
      <c r="X163" s="32"/>
      <c r="Y163" s="32"/>
      <c r="Z163" s="32"/>
      <c r="AA163" s="32"/>
      <c r="AB163" s="32"/>
      <c r="AC163" s="32"/>
      <c r="AD163" s="32"/>
      <c r="AE163" s="32"/>
      <c r="AF163" s="32"/>
      <c r="AG163" s="32"/>
      <c r="AH163" s="32"/>
      <c r="AI163" s="32"/>
      <c r="AJ163" s="32"/>
      <c r="AK163" s="32"/>
      <c r="AM163" s="10"/>
      <c r="AN163" s="10"/>
    </row>
    <row r="164" spans="2:42" ht="15" customHeight="1" x14ac:dyDescent="0.3">
      <c r="C164" s="156"/>
      <c r="E164" s="156"/>
      <c r="G164" s="25" t="s">
        <v>391</v>
      </c>
      <c r="Y164" s="178"/>
      <c r="Z164" s="178"/>
      <c r="AC164" s="239"/>
      <c r="AD164" s="239"/>
      <c r="AE164" s="239"/>
      <c r="AF164" s="239"/>
      <c r="AG164" s="239"/>
      <c r="AH164" s="239"/>
      <c r="AI164" s="239"/>
      <c r="AM164" s="83">
        <f>IF(AND(ISBLANK(C164),ISBLANK(E164)),1,2)</f>
        <v>1</v>
      </c>
      <c r="AN164" s="83">
        <f>IF(ISBLANK(E164),1,2)</f>
        <v>1</v>
      </c>
      <c r="AO164" s="83">
        <f>IF(ISBLANK(C164),1,2)</f>
        <v>1</v>
      </c>
      <c r="AP164" s="83">
        <f>IF(ISBLANK(E164),0,1)</f>
        <v>0</v>
      </c>
    </row>
    <row r="165" spans="2:42" ht="4.95" customHeight="1" x14ac:dyDescent="0.3">
      <c r="I165" s="33"/>
      <c r="J165" s="2"/>
      <c r="K165" s="2"/>
      <c r="L165" s="2"/>
      <c r="M165" s="33"/>
      <c r="N165" s="32"/>
      <c r="O165" s="32"/>
      <c r="X165" s="32"/>
      <c r="Y165" s="32"/>
      <c r="Z165" s="32"/>
      <c r="AA165" s="32"/>
      <c r="AB165" s="32"/>
      <c r="AC165" s="32"/>
      <c r="AD165" s="32"/>
      <c r="AE165" s="32"/>
      <c r="AF165" s="32"/>
      <c r="AG165" s="32"/>
      <c r="AH165" s="32"/>
      <c r="AI165" s="32"/>
      <c r="AM165" s="10"/>
      <c r="AN165" s="10"/>
    </row>
    <row r="166" spans="2:42" ht="15" customHeight="1" x14ac:dyDescent="0.3">
      <c r="C166" s="156"/>
      <c r="E166" s="156"/>
      <c r="G166" s="25" t="s">
        <v>290</v>
      </c>
      <c r="I166" s="33"/>
      <c r="J166" s="2"/>
      <c r="K166" s="2"/>
      <c r="L166" s="2"/>
      <c r="M166" s="33"/>
      <c r="N166" s="32"/>
      <c r="O166" s="32"/>
      <c r="X166" s="32"/>
      <c r="Y166" s="178"/>
      <c r="Z166" s="178"/>
      <c r="AC166" s="239"/>
      <c r="AD166" s="239"/>
      <c r="AE166" s="239"/>
      <c r="AF166" s="239"/>
      <c r="AG166" s="239"/>
      <c r="AH166" s="239"/>
      <c r="AI166" s="239"/>
      <c r="AM166" s="83">
        <f>IF(AND(ISBLANK(C166),ISBLANK(E166)),1,2)</f>
        <v>1</v>
      </c>
      <c r="AN166" s="83">
        <f>IF(ISBLANK(E166),1,2)</f>
        <v>1</v>
      </c>
      <c r="AO166" s="83">
        <f>IF(ISBLANK(C166),1,2)</f>
        <v>1</v>
      </c>
      <c r="AP166" s="83">
        <f>IF(ISBLANK(E166),0,1)</f>
        <v>0</v>
      </c>
    </row>
    <row r="167" spans="2:42" ht="4.95" customHeight="1" x14ac:dyDescent="0.3">
      <c r="I167" s="33"/>
      <c r="J167" s="2"/>
      <c r="K167" s="2"/>
      <c r="L167" s="2"/>
      <c r="M167" s="33"/>
      <c r="N167" s="32"/>
      <c r="O167" s="32"/>
      <c r="X167" s="32"/>
      <c r="Y167" s="32"/>
      <c r="Z167" s="32"/>
      <c r="AA167" s="32"/>
      <c r="AB167" s="32"/>
      <c r="AC167" s="32"/>
      <c r="AD167" s="32"/>
      <c r="AE167" s="32"/>
      <c r="AF167" s="32"/>
      <c r="AG167" s="32"/>
      <c r="AH167" s="32"/>
      <c r="AI167" s="32"/>
      <c r="AM167" s="10"/>
      <c r="AN167" s="10"/>
    </row>
    <row r="168" spans="2:42" ht="15" customHeight="1" x14ac:dyDescent="0.3">
      <c r="C168" s="156"/>
      <c r="E168" s="156"/>
      <c r="G168" s="25" t="s">
        <v>287</v>
      </c>
      <c r="Y168" s="178"/>
      <c r="Z168" s="178"/>
      <c r="AC168" s="239"/>
      <c r="AD168" s="239"/>
      <c r="AE168" s="239"/>
      <c r="AF168" s="239"/>
      <c r="AG168" s="239"/>
      <c r="AH168" s="239"/>
      <c r="AI168" s="239"/>
      <c r="AM168" s="83">
        <f>IF(AND(ISBLANK(C168),ISBLANK(E168)),1,2)</f>
        <v>1</v>
      </c>
      <c r="AN168" s="83">
        <f>IF(ISBLANK(E168),1,2)</f>
        <v>1</v>
      </c>
      <c r="AO168" s="83">
        <f>IF(ISBLANK(C168),1,2)</f>
        <v>1</v>
      </c>
      <c r="AP168" s="83">
        <f>IF(ISBLANK(E168),0,1)</f>
        <v>0</v>
      </c>
    </row>
    <row r="169" spans="2:42" ht="4.95" customHeight="1" x14ac:dyDescent="0.3">
      <c r="I169" s="33"/>
      <c r="J169" s="2"/>
      <c r="K169" s="2"/>
      <c r="L169" s="2"/>
      <c r="M169" s="33"/>
      <c r="N169" s="32"/>
      <c r="O169" s="32"/>
      <c r="P169" s="32"/>
      <c r="Q169" s="32"/>
      <c r="R169" s="32"/>
      <c r="S169" s="32"/>
      <c r="T169" s="32"/>
      <c r="U169" s="32"/>
      <c r="V169" s="32"/>
      <c r="W169" s="32"/>
      <c r="X169" s="32"/>
      <c r="Y169" s="32"/>
      <c r="Z169" s="32"/>
      <c r="AA169" s="32"/>
      <c r="AB169" s="32"/>
      <c r="AC169" s="32"/>
      <c r="AM169" s="10"/>
      <c r="AN169" s="10"/>
    </row>
    <row r="170" spans="2:42" ht="15" customHeight="1" x14ac:dyDescent="0.3">
      <c r="C170" s="156"/>
      <c r="E170" s="156"/>
      <c r="G170" s="25" t="s">
        <v>288</v>
      </c>
      <c r="I170" s="33"/>
      <c r="J170" s="2"/>
      <c r="K170" s="2"/>
      <c r="L170" s="2"/>
      <c r="M170" s="33"/>
      <c r="N170" s="32"/>
      <c r="O170" s="32"/>
      <c r="P170" s="32"/>
      <c r="Q170" s="32"/>
      <c r="R170" s="32"/>
      <c r="S170" s="32"/>
      <c r="T170" s="32"/>
      <c r="U170" s="32"/>
      <c r="V170" s="32"/>
      <c r="W170" s="32"/>
      <c r="X170" s="32"/>
      <c r="Y170" s="178"/>
      <c r="Z170" s="178"/>
      <c r="AC170" s="239"/>
      <c r="AD170" s="239"/>
      <c r="AE170" s="239"/>
      <c r="AF170" s="239"/>
      <c r="AG170" s="239"/>
      <c r="AH170" s="239"/>
      <c r="AI170" s="239"/>
      <c r="AM170" s="83">
        <f>IF(AND(ISBLANK(C170),ISBLANK(E170)),1,2)</f>
        <v>1</v>
      </c>
      <c r="AN170" s="83">
        <f>IF(ISBLANK(E170),1,2)</f>
        <v>1</v>
      </c>
      <c r="AO170" s="83">
        <f>IF(ISBLANK(C170),1,2)</f>
        <v>1</v>
      </c>
      <c r="AP170" s="83">
        <f>IF(ISBLANK(E170),0,1)</f>
        <v>0</v>
      </c>
    </row>
    <row r="171" spans="2:42" ht="15" customHeight="1" x14ac:dyDescent="0.3">
      <c r="AK171" s="27"/>
    </row>
    <row r="172" spans="2:42" ht="15" customHeight="1" x14ac:dyDescent="0.3">
      <c r="B172" s="1" t="s">
        <v>18</v>
      </c>
      <c r="C172" s="1"/>
      <c r="D172" s="1"/>
      <c r="E172" s="1"/>
      <c r="F172" s="1"/>
      <c r="G172" s="1"/>
      <c r="H172" s="1"/>
      <c r="I172" s="1"/>
    </row>
    <row r="173" spans="2:42" ht="15" customHeight="1" x14ac:dyDescent="0.3">
      <c r="B173" s="243" t="s">
        <v>393</v>
      </c>
      <c r="C173" s="243"/>
      <c r="D173" s="243"/>
      <c r="E173" s="243"/>
      <c r="F173" s="243"/>
      <c r="G173" s="243"/>
      <c r="H173" s="243"/>
      <c r="I173" s="243"/>
      <c r="J173" s="243"/>
      <c r="K173" s="243"/>
      <c r="L173" s="243"/>
      <c r="M173" s="243"/>
      <c r="N173" s="243"/>
      <c r="O173" s="243"/>
      <c r="P173" s="243"/>
      <c r="Q173" s="243"/>
      <c r="R173" s="243"/>
      <c r="S173" s="243"/>
      <c r="T173" s="243"/>
      <c r="U173" s="243"/>
      <c r="V173" s="243"/>
      <c r="W173" s="243"/>
      <c r="X173" s="243"/>
      <c r="Y173" s="243"/>
      <c r="Z173" s="243"/>
      <c r="AA173" s="243"/>
      <c r="AB173" s="243"/>
      <c r="AC173" s="243"/>
      <c r="AD173" s="243"/>
      <c r="AE173" s="243"/>
      <c r="AF173" s="243"/>
      <c r="AG173" s="243"/>
      <c r="AH173" s="243"/>
      <c r="AI173" s="243"/>
      <c r="AJ173" s="243"/>
      <c r="AK173" s="243"/>
    </row>
    <row r="174" spans="2:42" ht="15" customHeight="1" x14ac:dyDescent="0.3">
      <c r="B174" s="243"/>
      <c r="C174" s="243"/>
      <c r="D174" s="243"/>
      <c r="E174" s="243"/>
      <c r="F174" s="243"/>
      <c r="G174" s="243"/>
      <c r="H174" s="243"/>
      <c r="I174" s="243"/>
      <c r="J174" s="243"/>
      <c r="K174" s="243"/>
      <c r="L174" s="243"/>
      <c r="M174" s="243"/>
      <c r="N174" s="243"/>
      <c r="O174" s="243"/>
      <c r="P174" s="243"/>
      <c r="Q174" s="243"/>
      <c r="R174" s="243"/>
      <c r="S174" s="243"/>
      <c r="T174" s="243"/>
      <c r="U174" s="243"/>
      <c r="V174" s="243"/>
      <c r="W174" s="243"/>
      <c r="X174" s="243"/>
      <c r="Y174" s="243"/>
      <c r="Z174" s="243"/>
      <c r="AA174" s="243"/>
      <c r="AB174" s="243"/>
      <c r="AC174" s="243"/>
      <c r="AD174" s="243"/>
      <c r="AE174" s="243"/>
      <c r="AF174" s="243"/>
      <c r="AG174" s="243"/>
      <c r="AH174" s="243"/>
      <c r="AI174" s="243"/>
      <c r="AJ174" s="243"/>
      <c r="AK174" s="243"/>
    </row>
    <row r="175" spans="2:42" ht="15" customHeight="1" x14ac:dyDescent="0.3">
      <c r="B175" s="243"/>
      <c r="C175" s="243"/>
      <c r="D175" s="243"/>
      <c r="E175" s="243"/>
      <c r="F175" s="243"/>
      <c r="G175" s="243"/>
      <c r="H175" s="243"/>
      <c r="I175" s="243"/>
      <c r="J175" s="243"/>
      <c r="K175" s="243"/>
      <c r="L175" s="243"/>
      <c r="M175" s="243"/>
      <c r="N175" s="243"/>
      <c r="O175" s="243"/>
      <c r="P175" s="243"/>
      <c r="Q175" s="243"/>
      <c r="R175" s="243"/>
      <c r="S175" s="243"/>
      <c r="T175" s="243"/>
      <c r="U175" s="243"/>
      <c r="V175" s="243"/>
      <c r="W175" s="243"/>
      <c r="X175" s="243"/>
      <c r="Y175" s="243"/>
      <c r="Z175" s="243"/>
      <c r="AA175" s="243"/>
      <c r="AB175" s="243"/>
      <c r="AC175" s="243"/>
      <c r="AD175" s="243"/>
      <c r="AE175" s="243"/>
      <c r="AF175" s="243"/>
      <c r="AG175" s="243"/>
      <c r="AH175" s="243"/>
      <c r="AI175" s="243"/>
      <c r="AJ175" s="243"/>
      <c r="AK175" s="243"/>
    </row>
    <row r="176" spans="2:42" ht="15" customHeight="1" x14ac:dyDescent="0.3">
      <c r="B176" s="243"/>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c r="AA176" s="243"/>
      <c r="AB176" s="243"/>
      <c r="AC176" s="243"/>
      <c r="AD176" s="243"/>
      <c r="AE176" s="243"/>
      <c r="AF176" s="243"/>
      <c r="AG176" s="243"/>
      <c r="AH176" s="243"/>
      <c r="AI176" s="243"/>
      <c r="AJ176" s="243"/>
      <c r="AK176" s="243"/>
    </row>
    <row r="177" spans="4:37" ht="15" customHeight="1" x14ac:dyDescent="0.3">
      <c r="D177" s="2" t="s">
        <v>154</v>
      </c>
      <c r="E177" s="172"/>
      <c r="F177" s="172"/>
      <c r="G177" s="172"/>
      <c r="H177" s="172"/>
      <c r="I177" s="172"/>
      <c r="J177" s="172"/>
      <c r="K177" s="172"/>
      <c r="L177" s="172"/>
      <c r="M177" s="172"/>
      <c r="N177" s="172"/>
      <c r="O177" s="172"/>
      <c r="P177" s="172"/>
      <c r="Q177" s="172"/>
      <c r="R177" s="172"/>
      <c r="S177" s="172"/>
      <c r="T177" s="172"/>
      <c r="U177" s="172"/>
      <c r="V177" s="172"/>
      <c r="W177" s="172"/>
      <c r="X177" s="172"/>
      <c r="Y177" s="172"/>
      <c r="AB177" s="2" t="s">
        <v>263</v>
      </c>
      <c r="AC177" s="2"/>
      <c r="AD177" s="2"/>
      <c r="AE177" s="2"/>
    </row>
    <row r="178" spans="4:37" ht="15" customHeight="1" x14ac:dyDescent="0.3">
      <c r="D178" s="2" t="s">
        <v>118</v>
      </c>
      <c r="E178" s="210"/>
      <c r="F178" s="210"/>
      <c r="G178" s="210"/>
      <c r="H178" s="210"/>
      <c r="I178" s="210"/>
      <c r="J178" s="210"/>
      <c r="K178" s="210"/>
      <c r="L178" s="210"/>
      <c r="M178" s="210"/>
      <c r="N178" s="210"/>
      <c r="O178" s="210"/>
      <c r="P178" s="210"/>
      <c r="Q178" s="210"/>
      <c r="R178" s="210"/>
      <c r="S178" s="210"/>
      <c r="T178" s="210"/>
      <c r="U178" s="210"/>
      <c r="V178" s="210"/>
      <c r="W178" s="210"/>
      <c r="X178" s="210"/>
      <c r="Y178" s="210"/>
    </row>
    <row r="179" spans="4:37" ht="15" customHeight="1" x14ac:dyDescent="0.3">
      <c r="D179" s="2" t="s">
        <v>119</v>
      </c>
      <c r="E179" s="210"/>
      <c r="F179" s="210"/>
      <c r="G179" s="210"/>
      <c r="H179" s="210"/>
      <c r="I179" s="210"/>
      <c r="J179" s="210"/>
      <c r="K179" s="210"/>
      <c r="L179" s="210"/>
      <c r="M179" s="210"/>
      <c r="N179" s="210"/>
      <c r="O179" s="210"/>
      <c r="P179" s="210"/>
      <c r="Q179" s="210"/>
      <c r="R179" s="210"/>
      <c r="S179" s="210"/>
      <c r="T179" s="210"/>
      <c r="U179" s="210"/>
      <c r="V179" s="210"/>
      <c r="W179" s="210"/>
      <c r="X179" s="210"/>
      <c r="Y179" s="210"/>
    </row>
    <row r="180" spans="4:37" ht="15" customHeight="1" x14ac:dyDescent="0.3">
      <c r="D180" s="2" t="s">
        <v>249</v>
      </c>
      <c r="E180" s="210"/>
      <c r="F180" s="210"/>
      <c r="G180" s="210"/>
      <c r="H180" s="210"/>
      <c r="I180" s="210"/>
      <c r="J180" s="210"/>
      <c r="K180" s="210"/>
      <c r="L180" s="59"/>
      <c r="M180" s="59"/>
      <c r="N180" s="92" t="s">
        <v>122</v>
      </c>
      <c r="O180" s="210"/>
      <c r="P180" s="210"/>
      <c r="Q180" s="210"/>
      <c r="R180" s="210"/>
      <c r="S180" s="59"/>
      <c r="T180" s="59"/>
      <c r="U180" s="59"/>
      <c r="V180" s="92" t="s">
        <v>123</v>
      </c>
      <c r="W180" s="208"/>
      <c r="X180" s="208"/>
      <c r="Y180" s="208"/>
    </row>
    <row r="181" spans="4:37" ht="15" customHeight="1" x14ac:dyDescent="0.3">
      <c r="D181" s="2" t="s">
        <v>120</v>
      </c>
      <c r="E181" s="211"/>
      <c r="F181" s="211"/>
      <c r="G181" s="211"/>
      <c r="H181" s="211"/>
      <c r="I181" s="211"/>
      <c r="J181" s="211"/>
      <c r="K181" s="211"/>
      <c r="L181" s="211"/>
      <c r="M181" s="211"/>
      <c r="N181" s="211"/>
      <c r="O181" s="211"/>
      <c r="P181" s="211"/>
      <c r="Q181" s="211"/>
      <c r="R181" s="211"/>
      <c r="S181" s="211"/>
      <c r="T181" s="211"/>
      <c r="U181" s="211"/>
      <c r="V181" s="211"/>
      <c r="W181" s="211"/>
      <c r="X181" s="211"/>
      <c r="Y181" s="211"/>
    </row>
    <row r="182" spans="4:37" ht="15" customHeight="1" x14ac:dyDescent="0.3">
      <c r="D182" s="2" t="s">
        <v>124</v>
      </c>
      <c r="E182" s="212"/>
      <c r="F182" s="212"/>
      <c r="G182" s="212"/>
      <c r="H182" s="212"/>
      <c r="I182" s="212"/>
      <c r="U182" s="52"/>
      <c r="V182" s="52"/>
      <c r="W182" s="52"/>
    </row>
    <row r="183" spans="4:37" ht="15" customHeight="1" x14ac:dyDescent="0.3">
      <c r="D183" s="2"/>
      <c r="E183" s="59"/>
      <c r="F183" s="59"/>
      <c r="G183" s="59"/>
      <c r="H183" s="59"/>
      <c r="I183" s="59"/>
      <c r="U183" s="52"/>
      <c r="V183" s="52"/>
      <c r="W183" s="52"/>
    </row>
    <row r="184" spans="4:37" ht="15" customHeight="1" x14ac:dyDescent="0.3">
      <c r="D184" s="2" t="s">
        <v>155</v>
      </c>
      <c r="E184" s="73"/>
      <c r="F184" s="73"/>
      <c r="G184" s="73"/>
      <c r="H184" s="73"/>
      <c r="I184" s="73"/>
      <c r="J184" s="73"/>
      <c r="K184" s="73"/>
      <c r="L184" s="73"/>
      <c r="M184" s="73"/>
      <c r="N184" s="73"/>
      <c r="O184" s="73"/>
      <c r="P184" s="73"/>
      <c r="Q184" s="73"/>
      <c r="R184" s="73"/>
      <c r="S184" s="73"/>
      <c r="T184" s="73"/>
      <c r="U184" s="52"/>
      <c r="V184" s="52"/>
      <c r="W184" s="52"/>
      <c r="AB184" s="2" t="s">
        <v>153</v>
      </c>
      <c r="AC184" s="207"/>
      <c r="AD184" s="207"/>
      <c r="AE184" s="207"/>
      <c r="AF184" s="207"/>
      <c r="AG184" s="207"/>
    </row>
    <row r="185" spans="4:37" ht="15" customHeight="1" x14ac:dyDescent="0.3">
      <c r="AK185" s="27"/>
    </row>
    <row r="186" spans="4:37" ht="15" customHeight="1" x14ac:dyDescent="0.3">
      <c r="AK186" s="27"/>
    </row>
    <row r="187" spans="4:37" ht="15" customHeight="1" x14ac:dyDescent="0.3">
      <c r="AK187" s="27"/>
    </row>
    <row r="188" spans="4:37" ht="15" customHeight="1" x14ac:dyDescent="0.3">
      <c r="AK188" s="27"/>
    </row>
    <row r="189" spans="4:37" ht="15" customHeight="1" x14ac:dyDescent="0.3">
      <c r="AK189" s="27"/>
    </row>
    <row r="190" spans="4:37" ht="15" customHeight="1" x14ac:dyDescent="0.3">
      <c r="AK190" s="27"/>
    </row>
    <row r="191" spans="4:37" ht="15" customHeight="1" x14ac:dyDescent="0.3">
      <c r="AK191" s="27"/>
    </row>
    <row r="192" spans="4:37" ht="15" customHeight="1" x14ac:dyDescent="0.3">
      <c r="AJ192" s="27"/>
    </row>
    <row r="193" spans="1:39" ht="15" customHeight="1" x14ac:dyDescent="0.3">
      <c r="A193" s="181">
        <f>Tables!$F$13</f>
        <v>46266</v>
      </c>
      <c r="B193" s="181"/>
      <c r="C193" s="181"/>
      <c r="D193" s="181"/>
      <c r="E193" s="181"/>
      <c r="F193" s="181"/>
      <c r="G193" s="181"/>
      <c r="Q193" s="182" t="s">
        <v>294</v>
      </c>
      <c r="R193" s="182"/>
      <c r="S193" s="182"/>
      <c r="T193" s="182"/>
      <c r="AJ193" s="27"/>
    </row>
    <row r="194" spans="1:39" ht="15" customHeight="1" x14ac:dyDescent="0.3">
      <c r="B194" s="2" t="s">
        <v>1</v>
      </c>
      <c r="C194" s="179">
        <f>IF(ISBLANK($E$7),"",$E$7)</f>
        <v>0</v>
      </c>
      <c r="D194" s="179"/>
      <c r="E194" s="179"/>
      <c r="F194" s="179"/>
      <c r="G194" s="179"/>
      <c r="H194" s="179"/>
      <c r="I194" s="179"/>
      <c r="J194" s="179"/>
      <c r="K194" s="179"/>
      <c r="L194" s="179"/>
      <c r="M194" s="179"/>
      <c r="N194" s="179"/>
      <c r="O194" s="179"/>
      <c r="P194" s="179"/>
      <c r="Q194" s="179"/>
      <c r="R194" s="179"/>
      <c r="S194" s="179"/>
      <c r="T194" s="179"/>
      <c r="U194" s="179"/>
      <c r="V194" s="179"/>
      <c r="W194" s="179"/>
      <c r="X194" s="179"/>
      <c r="Y194" s="179"/>
      <c r="Z194" s="32"/>
      <c r="AA194" s="32"/>
      <c r="AB194" s="32"/>
      <c r="AE194" s="2" t="s">
        <v>20</v>
      </c>
      <c r="AF194" s="200">
        <f>$AF$7</f>
        <v>0</v>
      </c>
      <c r="AG194" s="200"/>
      <c r="AH194" s="200"/>
      <c r="AI194" s="200"/>
      <c r="AJ194" s="200"/>
    </row>
    <row r="195" spans="1:39" ht="15" customHeight="1" x14ac:dyDescent="0.3">
      <c r="G195" s="33"/>
      <c r="H195" s="33"/>
      <c r="I195" s="2"/>
      <c r="J195" s="2"/>
      <c r="K195" s="2"/>
      <c r="L195" s="33"/>
      <c r="M195" s="32"/>
      <c r="N195" s="32"/>
      <c r="O195" s="32"/>
      <c r="P195" s="32"/>
      <c r="Q195" s="32"/>
      <c r="R195" s="32"/>
      <c r="S195" s="32"/>
      <c r="T195" s="32"/>
      <c r="U195" s="32"/>
      <c r="V195" s="32"/>
      <c r="W195" s="32"/>
      <c r="X195" s="32"/>
      <c r="Y195" s="32"/>
      <c r="Z195" s="32"/>
      <c r="AA195" s="32"/>
      <c r="AB195" s="32"/>
      <c r="AE195" s="2" t="s">
        <v>31</v>
      </c>
      <c r="AF195" s="231">
        <f>IF(ISBLANK($AF$8),"",$AF$8)</f>
        <v>0</v>
      </c>
      <c r="AG195" s="231"/>
      <c r="AH195" s="231"/>
      <c r="AI195" s="231"/>
      <c r="AJ195" s="231"/>
    </row>
    <row r="196" spans="1:39" ht="15" customHeight="1" x14ac:dyDescent="0.3">
      <c r="AK196" s="27"/>
    </row>
    <row r="197" spans="1:39" ht="15" customHeight="1" x14ac:dyDescent="0.3">
      <c r="A197" s="37" t="s">
        <v>73</v>
      </c>
      <c r="B197" s="54"/>
      <c r="C197" s="54"/>
      <c r="D197" s="54"/>
      <c r="E197" s="54"/>
      <c r="F197" s="54"/>
      <c r="G197" s="54"/>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107" t="s">
        <v>281</v>
      </c>
      <c r="AF197" s="242">
        <f>'Form 2F.1 - Design'!AE7</f>
        <v>0</v>
      </c>
      <c r="AG197" s="242"/>
      <c r="AH197" s="242"/>
      <c r="AI197" s="242"/>
      <c r="AJ197" s="242"/>
      <c r="AK197" s="242"/>
      <c r="AL197" s="39"/>
      <c r="AM197" s="19" t="s">
        <v>250</v>
      </c>
    </row>
    <row r="198" spans="1:39" ht="15" customHeight="1" x14ac:dyDescent="0.3">
      <c r="A198" s="40"/>
      <c r="B198" s="7"/>
      <c r="C198" s="7"/>
      <c r="D198" s="7"/>
      <c r="E198" s="7"/>
      <c r="F198" s="7"/>
      <c r="G198" s="7"/>
      <c r="H198" s="7"/>
      <c r="I198" s="7"/>
      <c r="J198" s="41" t="s">
        <v>74</v>
      </c>
      <c r="K198" s="41"/>
      <c r="L198" s="42" t="s">
        <v>167</v>
      </c>
      <c r="M198" s="41"/>
      <c r="N198" s="42"/>
      <c r="O198" s="42"/>
      <c r="P198" s="42"/>
      <c r="Q198" s="7"/>
      <c r="R198" s="7"/>
      <c r="S198" s="7"/>
      <c r="T198" s="7"/>
      <c r="U198" s="7"/>
      <c r="V198" s="7"/>
      <c r="W198" s="7"/>
      <c r="X198" s="7"/>
      <c r="Y198" s="7"/>
      <c r="Z198" s="7"/>
      <c r="AA198" s="7"/>
      <c r="AB198" s="7"/>
      <c r="AC198" s="7"/>
      <c r="AD198" s="7"/>
      <c r="AE198" s="7"/>
      <c r="AF198" s="7"/>
      <c r="AG198" s="7"/>
      <c r="AH198" s="7"/>
      <c r="AI198" s="7"/>
      <c r="AJ198" s="7"/>
      <c r="AK198" s="7"/>
      <c r="AL198" s="43"/>
      <c r="AM198" s="83">
        <f>SUM(AM200:AM213)</f>
        <v>11</v>
      </c>
    </row>
    <row r="199" spans="1:39" ht="15" customHeight="1" x14ac:dyDescent="0.3">
      <c r="A199" s="40"/>
      <c r="B199" s="7"/>
      <c r="C199" s="7"/>
      <c r="D199" s="7"/>
      <c r="E199" s="7"/>
      <c r="F199" s="7"/>
      <c r="G199" s="7"/>
      <c r="H199" s="7"/>
      <c r="I199" s="7"/>
      <c r="J199" s="8"/>
      <c r="K199" s="41"/>
      <c r="L199" s="7"/>
      <c r="M199" s="41"/>
      <c r="N199" s="42"/>
      <c r="O199" s="42"/>
      <c r="P199" s="42"/>
      <c r="Q199" s="7"/>
      <c r="R199" s="7"/>
      <c r="S199" s="7"/>
      <c r="T199" s="7"/>
      <c r="U199" s="7"/>
      <c r="V199" s="7"/>
      <c r="W199" s="7"/>
      <c r="X199" s="7"/>
      <c r="Y199" s="7"/>
      <c r="Z199" s="7"/>
      <c r="AA199" s="7"/>
      <c r="AB199" s="7"/>
      <c r="AC199" s="7"/>
      <c r="AD199" s="7"/>
      <c r="AE199" s="7"/>
      <c r="AF199" s="7"/>
      <c r="AG199" s="7"/>
      <c r="AH199" s="7"/>
      <c r="AI199" s="7"/>
      <c r="AJ199" s="7"/>
      <c r="AK199" s="7"/>
      <c r="AL199" s="43"/>
      <c r="AM199" s="83"/>
    </row>
    <row r="200" spans="1:39" ht="15" customHeight="1" x14ac:dyDescent="0.3">
      <c r="A200" s="40"/>
      <c r="B200" s="7"/>
      <c r="C200" s="7"/>
      <c r="D200" s="7"/>
      <c r="E200" s="7"/>
      <c r="F200" s="7"/>
      <c r="G200" s="7"/>
      <c r="H200" s="7"/>
      <c r="I200" s="7"/>
      <c r="J200" s="86" t="s">
        <v>375</v>
      </c>
      <c r="K200" s="8"/>
      <c r="L200" s="7"/>
      <c r="M200" s="8"/>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43"/>
      <c r="AM200" s="83">
        <f>IF(L200="",0,1)</f>
        <v>0</v>
      </c>
    </row>
    <row r="201" spans="1:39" ht="15" customHeight="1" x14ac:dyDescent="0.3">
      <c r="A201" s="40"/>
      <c r="B201" s="7"/>
      <c r="C201" s="7"/>
      <c r="D201" s="7"/>
      <c r="E201" s="7"/>
      <c r="F201" s="7"/>
      <c r="G201" s="7"/>
      <c r="H201" s="7"/>
      <c r="I201" s="7"/>
      <c r="J201" s="8" t="s">
        <v>221</v>
      </c>
      <c r="K201" s="8"/>
      <c r="L201" s="7" t="str">
        <f>IF(ISBLANK(AH57),Tables!J15,IF(AH57&gt;48,Tables!J15,""))</f>
        <v>Drain time exceeds the recommended 48 hours</v>
      </c>
      <c r="M201" s="8"/>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43"/>
      <c r="AM201" s="83">
        <f t="shared" ref="AM201:AM210" si="11">IF(L201="",0,1)</f>
        <v>1</v>
      </c>
    </row>
    <row r="202" spans="1:39" ht="15" customHeight="1" x14ac:dyDescent="0.3">
      <c r="A202" s="40"/>
      <c r="B202" s="7"/>
      <c r="C202" s="7"/>
      <c r="D202" s="7"/>
      <c r="E202" s="7"/>
      <c r="F202" s="7"/>
      <c r="G202" s="7"/>
      <c r="H202" s="7"/>
      <c r="I202" s="7"/>
      <c r="J202" s="8" t="s">
        <v>222</v>
      </c>
      <c r="K202" s="8"/>
      <c r="L202" s="7" t="str">
        <f>IF(ISBLANK(AH58),Tables!J16,IF(AH58&gt;12,Tables!J16,""))</f>
        <v>Drain time exceeds the recommended 12 hours</v>
      </c>
      <c r="M202" s="8"/>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43"/>
      <c r="AM202" s="83">
        <f t="shared" si="11"/>
        <v>1</v>
      </c>
    </row>
    <row r="203" spans="1:39" ht="15" customHeight="1" x14ac:dyDescent="0.3">
      <c r="A203" s="40"/>
      <c r="B203" s="7"/>
      <c r="C203" s="7"/>
      <c r="D203" s="7"/>
      <c r="E203" s="7"/>
      <c r="F203" s="7"/>
      <c r="G203" s="7"/>
      <c r="H203" s="7"/>
      <c r="I203" s="7"/>
      <c r="J203" s="8" t="s">
        <v>99</v>
      </c>
      <c r="K203" s="8"/>
      <c r="L203" s="7" t="str">
        <f>IF(AP61&lt;2,Tables!J9,"")</f>
        <v>Latitude and/or Longitude not provided</v>
      </c>
      <c r="M203" s="8"/>
      <c r="N203" s="8"/>
      <c r="O203" s="7"/>
      <c r="P203" s="7"/>
      <c r="Q203" s="7"/>
      <c r="R203" s="7"/>
      <c r="S203" s="7"/>
      <c r="T203" s="7"/>
      <c r="U203" s="7"/>
      <c r="V203" s="7"/>
      <c r="W203" s="7"/>
      <c r="X203" s="7"/>
      <c r="Y203" s="7"/>
      <c r="Z203" s="7"/>
      <c r="AA203" s="7"/>
      <c r="AB203" s="7"/>
      <c r="AC203" s="7"/>
      <c r="AD203" s="7"/>
      <c r="AE203" s="7"/>
      <c r="AF203" s="7"/>
      <c r="AG203" s="7"/>
      <c r="AH203" s="7"/>
      <c r="AI203" s="7"/>
      <c r="AJ203" s="7"/>
      <c r="AK203" s="7"/>
      <c r="AL203" s="43"/>
      <c r="AM203" s="83">
        <f t="shared" si="11"/>
        <v>1</v>
      </c>
    </row>
    <row r="204" spans="1:39" ht="15" customHeight="1" x14ac:dyDescent="0.3">
      <c r="A204" s="40"/>
      <c r="B204" s="7"/>
      <c r="C204" s="7"/>
      <c r="D204" s="7"/>
      <c r="E204" s="7"/>
      <c r="F204" s="7"/>
      <c r="G204" s="7"/>
      <c r="H204" s="7"/>
      <c r="I204" s="7"/>
      <c r="J204" s="8"/>
      <c r="K204" s="8"/>
      <c r="L204" s="7" t="str">
        <f>IF(AND(AS61=1,AS62=1),Tables!$J$10,IF(OR(AS61=3,AS62=3),Tables!$J$10,""))</f>
        <v>Latitude and/or Longitude has been entered as text.  Change to a number.</v>
      </c>
      <c r="M204" s="8"/>
      <c r="N204" s="8"/>
      <c r="O204" s="7"/>
      <c r="P204" s="7"/>
      <c r="Q204" s="7"/>
      <c r="R204" s="7"/>
      <c r="S204" s="7"/>
      <c r="T204" s="7"/>
      <c r="U204" s="7"/>
      <c r="V204" s="7"/>
      <c r="W204" s="7"/>
      <c r="X204" s="7"/>
      <c r="Y204" s="7"/>
      <c r="Z204" s="7"/>
      <c r="AA204" s="7"/>
      <c r="AB204" s="7"/>
      <c r="AC204" s="7"/>
      <c r="AD204" s="7"/>
      <c r="AE204" s="7"/>
      <c r="AF204" s="7"/>
      <c r="AG204" s="7"/>
      <c r="AH204" s="7"/>
      <c r="AI204" s="7"/>
      <c r="AJ204" s="7"/>
      <c r="AK204" s="7"/>
      <c r="AL204" s="43"/>
      <c r="AM204" s="83">
        <f t="shared" si="11"/>
        <v>1</v>
      </c>
    </row>
    <row r="205" spans="1:39" ht="15" customHeight="1" x14ac:dyDescent="0.3">
      <c r="A205" s="40"/>
      <c r="B205" s="7"/>
      <c r="C205" s="7"/>
      <c r="D205" s="7"/>
      <c r="E205" s="7"/>
      <c r="F205" s="7"/>
      <c r="G205" s="7"/>
      <c r="H205" s="7"/>
      <c r="I205" s="7"/>
      <c r="J205" s="8" t="s">
        <v>131</v>
      </c>
      <c r="K205" s="8"/>
      <c r="L205" s="7" t="str">
        <f>IF(AO89=2,Tables!J11,IF(AN89=1,"",Tables!J11))</f>
        <v>WQv Required &gt; WQv Provided</v>
      </c>
      <c r="M205" s="8"/>
      <c r="N205" s="8"/>
      <c r="O205" s="7"/>
      <c r="P205" s="7"/>
      <c r="Q205" s="7"/>
      <c r="R205" s="7"/>
      <c r="S205" s="7"/>
      <c r="T205" s="7"/>
      <c r="U205" s="7"/>
      <c r="V205" s="7"/>
      <c r="W205" s="7"/>
      <c r="X205" s="7"/>
      <c r="Y205" s="7"/>
      <c r="Z205" s="7"/>
      <c r="AA205" s="7"/>
      <c r="AB205" s="7"/>
      <c r="AC205" s="7"/>
      <c r="AD205" s="7"/>
      <c r="AE205" s="7"/>
      <c r="AF205" s="7"/>
      <c r="AG205" s="7"/>
      <c r="AH205" s="7"/>
      <c r="AI205" s="7"/>
      <c r="AJ205" s="7"/>
      <c r="AK205" s="7"/>
      <c r="AL205" s="43"/>
      <c r="AM205" s="83">
        <f t="shared" si="11"/>
        <v>1</v>
      </c>
    </row>
    <row r="206" spans="1:39" ht="15" customHeight="1" x14ac:dyDescent="0.3">
      <c r="A206" s="40"/>
      <c r="B206" s="7"/>
      <c r="C206" s="7"/>
      <c r="D206" s="7"/>
      <c r="E206" s="7"/>
      <c r="F206" s="7"/>
      <c r="G206" s="7"/>
      <c r="H206" s="7"/>
      <c r="I206" s="7"/>
      <c r="J206" s="86" t="s">
        <v>190</v>
      </c>
      <c r="K206" s="8"/>
      <c r="L206" s="7"/>
      <c r="M206" s="8"/>
      <c r="N206" s="8"/>
      <c r="O206" s="7"/>
      <c r="P206" s="7"/>
      <c r="Q206" s="7"/>
      <c r="R206" s="7"/>
      <c r="S206" s="7"/>
      <c r="T206" s="7"/>
      <c r="U206" s="7"/>
      <c r="V206" s="7"/>
      <c r="W206" s="7"/>
      <c r="X206" s="7"/>
      <c r="Y206" s="7"/>
      <c r="Z206" s="7"/>
      <c r="AA206" s="7"/>
      <c r="AB206" s="7"/>
      <c r="AC206" s="7"/>
      <c r="AD206" s="7"/>
      <c r="AE206" s="7"/>
      <c r="AF206" s="7"/>
      <c r="AG206" s="7"/>
      <c r="AH206" s="7"/>
      <c r="AI206" s="7"/>
      <c r="AJ206" s="7"/>
      <c r="AK206" s="7"/>
      <c r="AL206" s="43"/>
      <c r="AM206" s="83">
        <f t="shared" si="11"/>
        <v>0</v>
      </c>
    </row>
    <row r="207" spans="1:39" ht="15" customHeight="1" x14ac:dyDescent="0.3">
      <c r="A207" s="40"/>
      <c r="B207" s="7"/>
      <c r="C207" s="7"/>
      <c r="D207" s="7"/>
      <c r="E207" s="7"/>
      <c r="F207" s="7"/>
      <c r="G207" s="7"/>
      <c r="H207" s="7"/>
      <c r="I207" s="7"/>
      <c r="J207" s="8" t="s">
        <v>136</v>
      </c>
      <c r="K207" s="8"/>
      <c r="L207" s="7" t="str">
        <f>IF(AM109&gt;0,Tables!J12,"")</f>
        <v>As-Built does not match Design, provide a reason in the Comments section</v>
      </c>
      <c r="M207" s="8"/>
      <c r="N207" s="8"/>
      <c r="O207" s="7"/>
      <c r="P207" s="7"/>
      <c r="Q207" s="7"/>
      <c r="R207" s="7"/>
      <c r="S207" s="7"/>
      <c r="T207" s="7"/>
      <c r="U207" s="7"/>
      <c r="V207" s="7"/>
      <c r="W207" s="7"/>
      <c r="X207" s="7"/>
      <c r="Y207" s="7"/>
      <c r="Z207" s="7"/>
      <c r="AA207" s="7"/>
      <c r="AB207" s="7"/>
      <c r="AC207" s="7"/>
      <c r="AD207" s="7"/>
      <c r="AE207" s="7"/>
      <c r="AF207" s="7"/>
      <c r="AG207" s="7"/>
      <c r="AH207" s="7"/>
      <c r="AI207" s="7"/>
      <c r="AJ207" s="7"/>
      <c r="AK207" s="7"/>
      <c r="AL207" s="43"/>
      <c r="AM207" s="83">
        <f t="shared" si="11"/>
        <v>1</v>
      </c>
    </row>
    <row r="208" spans="1:39" ht="15" customHeight="1" x14ac:dyDescent="0.3">
      <c r="A208" s="40"/>
      <c r="B208" s="7"/>
      <c r="C208" s="7"/>
      <c r="D208" s="7"/>
      <c r="E208" s="7"/>
      <c r="F208" s="7"/>
      <c r="G208" s="7"/>
      <c r="H208" s="7"/>
      <c r="I208" s="7"/>
      <c r="J208" s="8" t="s">
        <v>226</v>
      </c>
      <c r="K208" s="8"/>
      <c r="L208" s="7" t="str">
        <f>IF(AP109&gt;0,Tables!J7,"")</f>
        <v>Velocity &gt; 6 ft/s</v>
      </c>
      <c r="M208" s="8"/>
      <c r="N208" s="8"/>
      <c r="O208" s="7"/>
      <c r="P208" s="7"/>
      <c r="Q208" s="7"/>
      <c r="R208" s="7"/>
      <c r="S208" s="7"/>
      <c r="T208" s="7"/>
      <c r="U208" s="7"/>
      <c r="V208" s="7"/>
      <c r="W208" s="7"/>
      <c r="X208" s="7"/>
      <c r="Y208" s="7"/>
      <c r="Z208" s="7"/>
      <c r="AA208" s="7"/>
      <c r="AB208" s="7"/>
      <c r="AC208" s="7"/>
      <c r="AD208" s="7"/>
      <c r="AE208" s="7"/>
      <c r="AF208" s="7"/>
      <c r="AG208" s="7"/>
      <c r="AH208" s="7"/>
      <c r="AI208" s="7"/>
      <c r="AJ208" s="7"/>
      <c r="AK208" s="7"/>
      <c r="AL208" s="43"/>
      <c r="AM208" s="83">
        <f t="shared" si="11"/>
        <v>1</v>
      </c>
    </row>
    <row r="209" spans="1:39" ht="15" customHeight="1" x14ac:dyDescent="0.3">
      <c r="A209" s="40"/>
      <c r="B209" s="7"/>
      <c r="C209" s="7"/>
      <c r="D209" s="7"/>
      <c r="E209" s="7"/>
      <c r="F209" s="7"/>
      <c r="G209" s="7"/>
      <c r="H209" s="7"/>
      <c r="I209" s="7"/>
      <c r="J209" s="8" t="s">
        <v>77</v>
      </c>
      <c r="K209" s="8"/>
      <c r="L209" s="7" t="str">
        <f>IF(OR(AQ109&gt;0,AS109&gt;0),Tables!J6,"")</f>
        <v>Total Post Q &gt; Pre Q</v>
      </c>
      <c r="M209" s="8"/>
      <c r="N209" s="8"/>
      <c r="O209" s="7"/>
      <c r="P209" s="7"/>
      <c r="Q209" s="7"/>
      <c r="R209" s="7"/>
      <c r="S209" s="7"/>
      <c r="T209" s="7"/>
      <c r="U209" s="7"/>
      <c r="V209" s="7"/>
      <c r="W209" s="7"/>
      <c r="X209" s="7"/>
      <c r="Y209" s="7"/>
      <c r="Z209" s="7"/>
      <c r="AA209" s="7"/>
      <c r="AB209" s="7"/>
      <c r="AC209" s="7"/>
      <c r="AD209" s="7"/>
      <c r="AE209" s="7"/>
      <c r="AF209" s="7"/>
      <c r="AG209" s="7"/>
      <c r="AH209" s="7"/>
      <c r="AI209" s="7"/>
      <c r="AJ209" s="7"/>
      <c r="AK209" s="7"/>
      <c r="AL209" s="43"/>
      <c r="AM209" s="83">
        <f t="shared" si="11"/>
        <v>1</v>
      </c>
    </row>
    <row r="210" spans="1:39" ht="15" customHeight="1" x14ac:dyDescent="0.3">
      <c r="A210" s="40"/>
      <c r="B210" s="7"/>
      <c r="C210" s="7"/>
      <c r="D210" s="7"/>
      <c r="E210" s="7"/>
      <c r="F210" s="7"/>
      <c r="G210" s="7"/>
      <c r="H210" s="7"/>
      <c r="I210" s="7"/>
      <c r="J210" s="8"/>
      <c r="K210" s="8"/>
      <c r="L210" s="7" t="str">
        <f>IF(AND(ISBLANK('Form 2F.1 - Design'!$C$156),ISBLANK('Form 2F.1 - Design'!$F$156)),Tables!$J$19,IF(AND('Form 3F - As-built'!$AQ$109&gt;0,'Form 3F - As-built'!$AP$104=2),Tables!$J$19,""))</f>
        <v>Known flooding:  25, 50, and 100-yr discharge &gt; 25-yr discharge</v>
      </c>
      <c r="M210" s="8"/>
      <c r="N210" s="8"/>
      <c r="O210" s="7"/>
      <c r="P210" s="7"/>
      <c r="Q210" s="7"/>
      <c r="R210" s="7"/>
      <c r="S210" s="7"/>
      <c r="T210" s="7"/>
      <c r="U210" s="7"/>
      <c r="V210" s="7"/>
      <c r="W210" s="7"/>
      <c r="X210" s="7"/>
      <c r="Y210" s="7"/>
      <c r="Z210" s="7"/>
      <c r="AA210" s="7"/>
      <c r="AB210" s="7"/>
      <c r="AC210" s="7"/>
      <c r="AD210" s="7"/>
      <c r="AE210" s="7"/>
      <c r="AF210" s="7"/>
      <c r="AG210" s="7"/>
      <c r="AH210" s="7"/>
      <c r="AI210" s="7"/>
      <c r="AJ210" s="7"/>
      <c r="AK210" s="7"/>
      <c r="AL210" s="43"/>
      <c r="AM210" s="83">
        <f t="shared" si="11"/>
        <v>1</v>
      </c>
    </row>
    <row r="211" spans="1:39" ht="15" customHeight="1" x14ac:dyDescent="0.3">
      <c r="A211" s="40"/>
      <c r="B211" s="7"/>
      <c r="C211" s="7"/>
      <c r="D211" s="7"/>
      <c r="E211" s="7"/>
      <c r="F211" s="7"/>
      <c r="G211" s="7"/>
      <c r="H211" s="7"/>
      <c r="I211" s="7"/>
      <c r="J211" s="8"/>
      <c r="K211" s="8"/>
      <c r="L211" s="240" t="str">
        <f>IF(AND(ISBLANK('Form 2F.1 - Design'!$C$158),ISBLANK('Form 2F.1 - Design'!$F$158)),Tables!$J$20,IF(AND('Form 3F - As-built'!$AR$109&gt;0,'Form 3F - As-built'!$AP$105=2),Tables!$J$20,""))</f>
        <v>Drains to adjacent property:  25, 50, and 100-yr discharge &gt; 25-yr discharge</v>
      </c>
      <c r="M211" s="240"/>
      <c r="N211" s="240"/>
      <c r="O211" s="240"/>
      <c r="P211" s="240"/>
      <c r="Q211" s="240"/>
      <c r="R211" s="240"/>
      <c r="S211" s="240"/>
      <c r="T211" s="240"/>
      <c r="U211" s="240"/>
      <c r="V211" s="240"/>
      <c r="W211" s="240"/>
      <c r="X211" s="240"/>
      <c r="Y211" s="240"/>
      <c r="Z211" s="240"/>
      <c r="AA211" s="240"/>
      <c r="AB211" s="240"/>
      <c r="AC211" s="240"/>
      <c r="AD211" s="240"/>
      <c r="AE211" s="240"/>
      <c r="AF211" s="240"/>
      <c r="AG211" s="240"/>
      <c r="AH211" s="240"/>
      <c r="AI211" s="240"/>
      <c r="AJ211" s="240"/>
      <c r="AK211" s="240"/>
      <c r="AL211" s="241"/>
      <c r="AM211" s="83">
        <f>IF(L211="",0,1)</f>
        <v>1</v>
      </c>
    </row>
    <row r="212" spans="1:39" ht="15" customHeight="1" x14ac:dyDescent="0.3">
      <c r="A212" s="40"/>
      <c r="B212" s="7"/>
      <c r="C212" s="7"/>
      <c r="D212" s="7"/>
      <c r="E212" s="7"/>
      <c r="F212" s="7"/>
      <c r="G212" s="7"/>
      <c r="H212" s="7"/>
      <c r="I212" s="7"/>
      <c r="J212" s="8"/>
      <c r="K212" s="8"/>
      <c r="L212" s="240"/>
      <c r="M212" s="240"/>
      <c r="N212" s="240"/>
      <c r="O212" s="240"/>
      <c r="P212" s="240"/>
      <c r="Q212" s="240"/>
      <c r="R212" s="240"/>
      <c r="S212" s="240"/>
      <c r="T212" s="240"/>
      <c r="U212" s="240"/>
      <c r="V212" s="240"/>
      <c r="W212" s="240"/>
      <c r="X212" s="240"/>
      <c r="Y212" s="240"/>
      <c r="Z212" s="240"/>
      <c r="AA212" s="240"/>
      <c r="AB212" s="240"/>
      <c r="AC212" s="240"/>
      <c r="AD212" s="240"/>
      <c r="AE212" s="240"/>
      <c r="AF212" s="240"/>
      <c r="AG212" s="240"/>
      <c r="AH212" s="240"/>
      <c r="AI212" s="240"/>
      <c r="AJ212" s="240"/>
      <c r="AK212" s="240"/>
      <c r="AL212" s="241"/>
      <c r="AM212" s="83"/>
    </row>
    <row r="213" spans="1:39" ht="15" customHeight="1" x14ac:dyDescent="0.3">
      <c r="A213" s="44"/>
      <c r="B213" s="45"/>
      <c r="C213" s="45"/>
      <c r="D213" s="45"/>
      <c r="E213" s="45"/>
      <c r="F213" s="45"/>
      <c r="G213" s="45"/>
      <c r="H213" s="45"/>
      <c r="I213" s="45"/>
      <c r="J213" s="96" t="s">
        <v>297</v>
      </c>
      <c r="K213" s="46"/>
      <c r="L213" s="97" t="str">
        <f>IF(OR(AM146=11,AM146&lt;22),Tables!J21,IF(AP146&gt;0,Tables!J21,0))</f>
        <v>All required photographs are not provided</v>
      </c>
      <c r="M213" s="46"/>
      <c r="N213" s="46"/>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7"/>
      <c r="AM213" s="83">
        <f>IF(L213="",0,1)</f>
        <v>1</v>
      </c>
    </row>
    <row r="214" spans="1:39" ht="15" customHeight="1" x14ac:dyDescent="0.3"/>
    <row r="215" spans="1:39" ht="15" customHeight="1" x14ac:dyDescent="0.3"/>
    <row r="216" spans="1:39" ht="15" customHeight="1" x14ac:dyDescent="0.3"/>
    <row r="217" spans="1:39" ht="15" customHeight="1" x14ac:dyDescent="0.3"/>
    <row r="218" spans="1:39" ht="15" customHeight="1" x14ac:dyDescent="0.3"/>
    <row r="219" spans="1:39" ht="15" customHeight="1" x14ac:dyDescent="0.3"/>
    <row r="220" spans="1:39" ht="15" customHeight="1" x14ac:dyDescent="0.3"/>
    <row r="221" spans="1:39" ht="15" customHeight="1" x14ac:dyDescent="0.3"/>
    <row r="222" spans="1:39" ht="15" customHeight="1" x14ac:dyDescent="0.3"/>
    <row r="223" spans="1:39" ht="15" customHeight="1" x14ac:dyDescent="0.3"/>
    <row r="224" spans="1:39" ht="15" customHeight="1" x14ac:dyDescent="0.3"/>
    <row r="225" spans="2:37" ht="15" customHeight="1" x14ac:dyDescent="0.3"/>
    <row r="226" spans="2:37" ht="15" customHeight="1" x14ac:dyDescent="0.3"/>
    <row r="227" spans="2:37" ht="15" customHeight="1" x14ac:dyDescent="0.3"/>
    <row r="228" spans="2:37" ht="15" customHeight="1" x14ac:dyDescent="0.3"/>
    <row r="229" spans="2:37" ht="15" customHeight="1" x14ac:dyDescent="0.3"/>
    <row r="230" spans="2:37" ht="15" customHeight="1" x14ac:dyDescent="0.3"/>
    <row r="231" spans="2:37" ht="15" customHeight="1" x14ac:dyDescent="0.3"/>
    <row r="232" spans="2:37" ht="15" customHeight="1" x14ac:dyDescent="0.3"/>
    <row r="233" spans="2:37" ht="15" customHeight="1" x14ac:dyDescent="0.3"/>
    <row r="234" spans="2:37" ht="15" customHeight="1" x14ac:dyDescent="0.3"/>
    <row r="235" spans="2:37" ht="15" customHeight="1" x14ac:dyDescent="0.3"/>
    <row r="236" spans="2:37" ht="15" customHeight="1" x14ac:dyDescent="0.3">
      <c r="AK236" s="27"/>
    </row>
    <row r="237" spans="2:37" ht="15" customHeight="1" x14ac:dyDescent="0.3">
      <c r="B237" s="181">
        <f>Tables!$F$13</f>
        <v>46266</v>
      </c>
      <c r="C237" s="181"/>
      <c r="D237" s="181"/>
      <c r="E237" s="181"/>
      <c r="F237" s="181"/>
      <c r="G237" s="181"/>
      <c r="H237" s="181"/>
      <c r="R237" s="182" t="s">
        <v>295</v>
      </c>
      <c r="S237" s="182"/>
      <c r="T237" s="182"/>
      <c r="U237" s="182"/>
      <c r="AK237" s="27"/>
    </row>
    <row r="238" spans="2:37" ht="15" customHeight="1" x14ac:dyDescent="0.3"/>
    <row r="239" spans="2:37" ht="15" customHeight="1" x14ac:dyDescent="0.3"/>
  </sheetData>
  <sheetProtection algorithmName="SHA-512" hashValue="4QaoOzdJ2KdzPprlnErC0cn2xRq1PywIL816zShRORDAtWd/zaS043wlP9eGFT1kBuTnvN+JOmL5RBB2fVaomg==" saltValue="Hh4w+HpEJCAYwIb+NoczSw==" spinCount="100000" sheet="1" objects="1" scenarios="1" selectLockedCells="1"/>
  <mergeCells count="363">
    <mergeCell ref="N27:R27"/>
    <mergeCell ref="AG27:AK27"/>
    <mergeCell ref="G84:J84"/>
    <mergeCell ref="G85:J85"/>
    <mergeCell ref="AC170:AI170"/>
    <mergeCell ref="B173:AK176"/>
    <mergeCell ref="AC154:AI154"/>
    <mergeCell ref="AH113:AK113"/>
    <mergeCell ref="AH105:AK105"/>
    <mergeCell ref="AC113:AF113"/>
    <mergeCell ref="X112:AA112"/>
    <mergeCell ref="X113:AA113"/>
    <mergeCell ref="X109:AA109"/>
    <mergeCell ref="X110:AA110"/>
    <mergeCell ref="AH112:AK112"/>
    <mergeCell ref="S107:V107"/>
    <mergeCell ref="Y41:AB41"/>
    <mergeCell ref="Y42:AA42"/>
    <mergeCell ref="Y43:AA43"/>
    <mergeCell ref="AA76:AD76"/>
    <mergeCell ref="AD62:AG62"/>
    <mergeCell ref="AA74:AD74"/>
    <mergeCell ref="V73:X73"/>
    <mergeCell ref="F139:V139"/>
    <mergeCell ref="L211:AL212"/>
    <mergeCell ref="AC156:AI156"/>
    <mergeCell ref="Y156:Z156"/>
    <mergeCell ref="M86:P86"/>
    <mergeCell ref="AA86:AD86"/>
    <mergeCell ref="AH130:AK130"/>
    <mergeCell ref="N113:Q113"/>
    <mergeCell ref="X111:AA111"/>
    <mergeCell ref="B118:AK125"/>
    <mergeCell ref="N102:Q102"/>
    <mergeCell ref="C107:D107"/>
    <mergeCell ref="C108:D108"/>
    <mergeCell ref="AC115:AF115"/>
    <mergeCell ref="AH115:AK115"/>
    <mergeCell ref="Y150:Z150"/>
    <mergeCell ref="AC150:AI150"/>
    <mergeCell ref="Y152:Z152"/>
    <mergeCell ref="AC152:AI152"/>
    <mergeCell ref="Y154:Z154"/>
    <mergeCell ref="X114:AA114"/>
    <mergeCell ref="N109:Q109"/>
    <mergeCell ref="AF197:AK197"/>
    <mergeCell ref="AG132:AK132"/>
    <mergeCell ref="Z138:AK138"/>
    <mergeCell ref="AF195:AJ195"/>
    <mergeCell ref="Q193:T193"/>
    <mergeCell ref="C194:Y194"/>
    <mergeCell ref="AF194:AJ194"/>
    <mergeCell ref="AG143:AK143"/>
    <mergeCell ref="F137:V137"/>
    <mergeCell ref="D142:Z142"/>
    <mergeCell ref="AG142:AK142"/>
    <mergeCell ref="F138:V138"/>
    <mergeCell ref="AG139:AK139"/>
    <mergeCell ref="A193:G193"/>
    <mergeCell ref="Y166:Z166"/>
    <mergeCell ref="AC166:AI166"/>
    <mergeCell ref="Y168:Z168"/>
    <mergeCell ref="AC168:AI168"/>
    <mergeCell ref="Y170:Z170"/>
    <mergeCell ref="Y158:Z158"/>
    <mergeCell ref="AC158:AI158"/>
    <mergeCell ref="Y160:Z160"/>
    <mergeCell ref="AC160:AI160"/>
    <mergeCell ref="Y162:Z162"/>
    <mergeCell ref="AC162:AI162"/>
    <mergeCell ref="Y164:Z164"/>
    <mergeCell ref="AC164:AI164"/>
    <mergeCell ref="AU6:BF7"/>
    <mergeCell ref="A70:AL70"/>
    <mergeCell ref="AF7:AK7"/>
    <mergeCell ref="O58:Q58"/>
    <mergeCell ref="J58:L58"/>
    <mergeCell ref="N21:P21"/>
    <mergeCell ref="F49:H49"/>
    <mergeCell ref="F36:I36"/>
    <mergeCell ref="N33:P33"/>
    <mergeCell ref="I21:K21"/>
    <mergeCell ref="E68:F68"/>
    <mergeCell ref="E7:Z7"/>
    <mergeCell ref="N15:P15"/>
    <mergeCell ref="E8:Z8"/>
    <mergeCell ref="F30:I30"/>
    <mergeCell ref="AF8:AK8"/>
    <mergeCell ref="F42:H42"/>
    <mergeCell ref="A12:AL12"/>
    <mergeCell ref="I24:K24"/>
    <mergeCell ref="AH49:AJ49"/>
    <mergeCell ref="AG18:AK18"/>
    <mergeCell ref="AH41:AJ41"/>
    <mergeCell ref="AC58:AE58"/>
    <mergeCell ref="AG24:AI24"/>
    <mergeCell ref="AB25:AD25"/>
    <mergeCell ref="AG25:AI25"/>
    <mergeCell ref="Z47:AC47"/>
    <mergeCell ref="Z48:AB48"/>
    <mergeCell ref="AG21:AI21"/>
    <mergeCell ref="AG37:AI37"/>
    <mergeCell ref="AB33:AD33"/>
    <mergeCell ref="AG33:AI33"/>
    <mergeCell ref="AB32:AD32"/>
    <mergeCell ref="AG32:AI32"/>
    <mergeCell ref="Y36:AB36"/>
    <mergeCell ref="AB23:AD23"/>
    <mergeCell ref="AB22:AD22"/>
    <mergeCell ref="AB21:AD21"/>
    <mergeCell ref="AG36:AI36"/>
    <mergeCell ref="AB24:AD24"/>
    <mergeCell ref="AG23:AI23"/>
    <mergeCell ref="AG22:AI22"/>
    <mergeCell ref="AH111:AK111"/>
    <mergeCell ref="I104:L104"/>
    <mergeCell ref="C104:D104"/>
    <mergeCell ref="N107:Q107"/>
    <mergeCell ref="G80:J80"/>
    <mergeCell ref="G81:J81"/>
    <mergeCell ref="M80:P80"/>
    <mergeCell ref="AH106:AK106"/>
    <mergeCell ref="AH107:AK107"/>
    <mergeCell ref="X105:AA105"/>
    <mergeCell ref="X104:AA104"/>
    <mergeCell ref="AC104:AF104"/>
    <mergeCell ref="V86:X86"/>
    <mergeCell ref="B97:H97"/>
    <mergeCell ref="B84:D84"/>
    <mergeCell ref="G83:J83"/>
    <mergeCell ref="AA83:AD83"/>
    <mergeCell ref="B85:D85"/>
    <mergeCell ref="V80:X80"/>
    <mergeCell ref="V81:X81"/>
    <mergeCell ref="G82:J82"/>
    <mergeCell ref="B81:D81"/>
    <mergeCell ref="AC110:AF110"/>
    <mergeCell ref="X106:AA106"/>
    <mergeCell ref="AH110:AK110"/>
    <mergeCell ref="G79:J79"/>
    <mergeCell ref="AC107:AF107"/>
    <mergeCell ref="AC108:AF108"/>
    <mergeCell ref="S110:V110"/>
    <mergeCell ref="N106:Q106"/>
    <mergeCell ref="AC105:AF105"/>
    <mergeCell ref="AG82:AJ82"/>
    <mergeCell ref="AH114:AK114"/>
    <mergeCell ref="AC111:AF111"/>
    <mergeCell ref="S108:V108"/>
    <mergeCell ref="AC114:AF114"/>
    <mergeCell ref="N111:Q111"/>
    <mergeCell ref="N114:Q114"/>
    <mergeCell ref="S114:V114"/>
    <mergeCell ref="G86:J86"/>
    <mergeCell ref="V79:X79"/>
    <mergeCell ref="X107:AA107"/>
    <mergeCell ref="M79:P79"/>
    <mergeCell ref="V85:X85"/>
    <mergeCell ref="M83:P83"/>
    <mergeCell ref="X108:AA108"/>
    <mergeCell ref="A101:AL101"/>
    <mergeCell ref="I102:L102"/>
    <mergeCell ref="AG54:AK54"/>
    <mergeCell ref="S109:V109"/>
    <mergeCell ref="V84:X84"/>
    <mergeCell ref="AG98:AK98"/>
    <mergeCell ref="AH108:AK108"/>
    <mergeCell ref="AH104:AK104"/>
    <mergeCell ref="AC106:AF106"/>
    <mergeCell ref="D98:Z98"/>
    <mergeCell ref="AG77:AJ77"/>
    <mergeCell ref="AG78:AJ78"/>
    <mergeCell ref="AG86:AJ86"/>
    <mergeCell ref="V76:X76"/>
    <mergeCell ref="M76:P76"/>
    <mergeCell ref="V77:X77"/>
    <mergeCell ref="V78:X78"/>
    <mergeCell ref="C106:D106"/>
    <mergeCell ref="S104:V104"/>
    <mergeCell ref="AH103:AK103"/>
    <mergeCell ref="AH109:AK109"/>
    <mergeCell ref="S105:V105"/>
    <mergeCell ref="S106:V106"/>
    <mergeCell ref="AC109:AF109"/>
    <mergeCell ref="M82:P82"/>
    <mergeCell ref="R97:U97"/>
    <mergeCell ref="AA79:AD79"/>
    <mergeCell ref="AA84:AD84"/>
    <mergeCell ref="AG81:AJ81"/>
    <mergeCell ref="AG74:AJ74"/>
    <mergeCell ref="AG75:AJ75"/>
    <mergeCell ref="V75:X75"/>
    <mergeCell ref="C103:D103"/>
    <mergeCell ref="AA77:AD77"/>
    <mergeCell ref="B77:D77"/>
    <mergeCell ref="G78:J78"/>
    <mergeCell ref="B86:D86"/>
    <mergeCell ref="AG84:AJ84"/>
    <mergeCell ref="AG83:AJ83"/>
    <mergeCell ref="M85:P85"/>
    <mergeCell ref="AC103:AF103"/>
    <mergeCell ref="J89:L89"/>
    <mergeCell ref="X103:AA103"/>
    <mergeCell ref="AD89:AF89"/>
    <mergeCell ref="A88:AL88"/>
    <mergeCell ref="S102:V102"/>
    <mergeCell ref="X102:AA102"/>
    <mergeCell ref="AH102:AK102"/>
    <mergeCell ref="AC102:AF102"/>
    <mergeCell ref="AA75:AD75"/>
    <mergeCell ref="X115:AA115"/>
    <mergeCell ref="AC112:AF112"/>
    <mergeCell ref="B141:H141"/>
    <mergeCell ref="C114:D114"/>
    <mergeCell ref="C115:D115"/>
    <mergeCell ref="F135:V135"/>
    <mergeCell ref="C111:D111"/>
    <mergeCell ref="C112:D112"/>
    <mergeCell ref="N115:Q115"/>
    <mergeCell ref="I111:L111"/>
    <mergeCell ref="I114:L114"/>
    <mergeCell ref="R141:U141"/>
    <mergeCell ref="Z130:AC130"/>
    <mergeCell ref="F128:V128"/>
    <mergeCell ref="C113:D113"/>
    <mergeCell ref="F136:V136"/>
    <mergeCell ref="S113:V113"/>
    <mergeCell ref="F129:V129"/>
    <mergeCell ref="F132:V132"/>
    <mergeCell ref="I115:L115"/>
    <mergeCell ref="F131:V131"/>
    <mergeCell ref="I112:L112"/>
    <mergeCell ref="F130:V130"/>
    <mergeCell ref="I113:L113"/>
    <mergeCell ref="S115:V115"/>
    <mergeCell ref="N105:Q105"/>
    <mergeCell ref="I106:L106"/>
    <mergeCell ref="N104:Q104"/>
    <mergeCell ref="N112:Q112"/>
    <mergeCell ref="S112:V112"/>
    <mergeCell ref="C105:D105"/>
    <mergeCell ref="N103:Q103"/>
    <mergeCell ref="S103:V103"/>
    <mergeCell ref="I109:L109"/>
    <mergeCell ref="I108:L108"/>
    <mergeCell ref="I107:L107"/>
    <mergeCell ref="C110:D110"/>
    <mergeCell ref="N108:Q108"/>
    <mergeCell ref="S111:V111"/>
    <mergeCell ref="I110:L110"/>
    <mergeCell ref="N110:Q110"/>
    <mergeCell ref="I105:L105"/>
    <mergeCell ref="I103:L103"/>
    <mergeCell ref="N18:R18"/>
    <mergeCell ref="X68:Y68"/>
    <mergeCell ref="O36:Q36"/>
    <mergeCell ref="AH47:AJ47"/>
    <mergeCell ref="AH48:AJ48"/>
    <mergeCell ref="AC57:AE57"/>
    <mergeCell ref="AA80:AD80"/>
    <mergeCell ref="AG76:AJ76"/>
    <mergeCell ref="AG99:AK99"/>
    <mergeCell ref="AA81:AD81"/>
    <mergeCell ref="AA85:AD85"/>
    <mergeCell ref="M81:P81"/>
    <mergeCell ref="M84:P84"/>
    <mergeCell ref="V82:X82"/>
    <mergeCell ref="V83:X83"/>
    <mergeCell ref="AH43:AJ43"/>
    <mergeCell ref="AH44:AJ44"/>
    <mergeCell ref="AA82:AD82"/>
    <mergeCell ref="AG79:AJ79"/>
    <mergeCell ref="AG80:AJ80"/>
    <mergeCell ref="AG85:AJ85"/>
    <mergeCell ref="O44:Q44"/>
    <mergeCell ref="Y44:AA44"/>
    <mergeCell ref="AA78:AD78"/>
    <mergeCell ref="F47:I47"/>
    <mergeCell ref="O47:Q47"/>
    <mergeCell ref="F48:H48"/>
    <mergeCell ref="G73:J73"/>
    <mergeCell ref="G72:J72"/>
    <mergeCell ref="I61:L61"/>
    <mergeCell ref="I62:L62"/>
    <mergeCell ref="J57:L57"/>
    <mergeCell ref="A60:AL60"/>
    <mergeCell ref="O49:Q49"/>
    <mergeCell ref="AH58:AJ58"/>
    <mergeCell ref="AD61:AG61"/>
    <mergeCell ref="AA73:AD73"/>
    <mergeCell ref="AG73:AJ73"/>
    <mergeCell ref="M73:P73"/>
    <mergeCell ref="X66:Z66"/>
    <mergeCell ref="AE66:AG66"/>
    <mergeCell ref="AH57:AJ57"/>
    <mergeCell ref="Z49:AB49"/>
    <mergeCell ref="O57:Q57"/>
    <mergeCell ref="D53:Z53"/>
    <mergeCell ref="E66:G66"/>
    <mergeCell ref="L66:N66"/>
    <mergeCell ref="AG53:AK53"/>
    <mergeCell ref="I22:K22"/>
    <mergeCell ref="I33:K33"/>
    <mergeCell ref="I23:K23"/>
    <mergeCell ref="N22:P22"/>
    <mergeCell ref="O37:Q37"/>
    <mergeCell ref="B82:D82"/>
    <mergeCell ref="B83:D83"/>
    <mergeCell ref="N24:P24"/>
    <mergeCell ref="I25:K25"/>
    <mergeCell ref="N25:P25"/>
    <mergeCell ref="N23:P23"/>
    <mergeCell ref="I32:K32"/>
    <mergeCell ref="N32:P32"/>
    <mergeCell ref="B79:D79"/>
    <mergeCell ref="B78:D78"/>
    <mergeCell ref="G76:J76"/>
    <mergeCell ref="G74:J74"/>
    <mergeCell ref="F43:H43"/>
    <mergeCell ref="F41:I41"/>
    <mergeCell ref="O41:Q41"/>
    <mergeCell ref="O48:Q48"/>
    <mergeCell ref="O43:Q43"/>
    <mergeCell ref="B73:D73"/>
    <mergeCell ref="F44:H44"/>
    <mergeCell ref="M78:P78"/>
    <mergeCell ref="M77:P77"/>
    <mergeCell ref="B74:D74"/>
    <mergeCell ref="B75:D75"/>
    <mergeCell ref="B76:D76"/>
    <mergeCell ref="A64:AL64"/>
    <mergeCell ref="H65:P65"/>
    <mergeCell ref="AA65:AI65"/>
    <mergeCell ref="AA72:AD72"/>
    <mergeCell ref="V74:X74"/>
    <mergeCell ref="M74:P74"/>
    <mergeCell ref="M75:P75"/>
    <mergeCell ref="G75:J75"/>
    <mergeCell ref="G77:J77"/>
    <mergeCell ref="AD6:AK6"/>
    <mergeCell ref="V1:AL4"/>
    <mergeCell ref="BL1:CB4"/>
    <mergeCell ref="AG14:AI14"/>
    <mergeCell ref="B237:H237"/>
    <mergeCell ref="R237:U237"/>
    <mergeCell ref="E177:Y177"/>
    <mergeCell ref="E178:Y178"/>
    <mergeCell ref="E179:Y179"/>
    <mergeCell ref="E180:K180"/>
    <mergeCell ref="O180:R180"/>
    <mergeCell ref="W180:Y180"/>
    <mergeCell ref="E181:Y181"/>
    <mergeCell ref="E182:I182"/>
    <mergeCell ref="Y30:AB30"/>
    <mergeCell ref="AC184:AG184"/>
    <mergeCell ref="N14:P14"/>
    <mergeCell ref="Z137:AC137"/>
    <mergeCell ref="AH137:AK137"/>
    <mergeCell ref="B52:H52"/>
    <mergeCell ref="R52:U52"/>
    <mergeCell ref="AG15:AI15"/>
    <mergeCell ref="B80:D80"/>
    <mergeCell ref="Z131:AK131"/>
  </mergeCells>
  <conditionalFormatting sqref="B118:AK125">
    <cfRule type="expression" dxfId="128" priority="1347">
      <formula>$AM$198&gt;0</formula>
    </cfRule>
    <cfRule type="cellIs" priority="1346" stopIfTrue="1" operator="greaterThan">
      <formula>0</formula>
    </cfRule>
  </conditionalFormatting>
  <conditionalFormatting sqref="C148 E148">
    <cfRule type="expression" dxfId="127" priority="114">
      <formula>ISBLANK(C148)</formula>
    </cfRule>
  </conditionalFormatting>
  <conditionalFormatting sqref="C150 E150">
    <cfRule type="expression" dxfId="126" priority="140">
      <formula>ISBLANK(C150)</formula>
    </cfRule>
  </conditionalFormatting>
  <conditionalFormatting sqref="C152 E152">
    <cfRule type="expression" dxfId="125" priority="87">
      <formula>ISBLANK(C152)</formula>
    </cfRule>
  </conditionalFormatting>
  <conditionalFormatting sqref="C154 E154">
    <cfRule type="expression" dxfId="124" priority="84">
      <formula>ISBLANK(C154)</formula>
    </cfRule>
  </conditionalFormatting>
  <conditionalFormatting sqref="C156 E156">
    <cfRule type="expression" dxfId="123" priority="81">
      <formula>ISBLANK(C156)</formula>
    </cfRule>
  </conditionalFormatting>
  <conditionalFormatting sqref="C158 E158">
    <cfRule type="expression" dxfId="122" priority="30">
      <formula>ISBLANK(C158)</formula>
    </cfRule>
  </conditionalFormatting>
  <conditionalFormatting sqref="C160 E160">
    <cfRule type="expression" dxfId="121" priority="25">
      <formula>ISBLANK(C160)</formula>
    </cfRule>
  </conditionalFormatting>
  <conditionalFormatting sqref="C162 E162">
    <cfRule type="expression" dxfId="120" priority="20">
      <formula>ISBLANK(C162)</formula>
    </cfRule>
  </conditionalFormatting>
  <conditionalFormatting sqref="C164 E164">
    <cfRule type="expression" dxfId="119" priority="78">
      <formula>ISBLANK(C164)</formula>
    </cfRule>
  </conditionalFormatting>
  <conditionalFormatting sqref="C166 E166">
    <cfRule type="expression" dxfId="118" priority="75">
      <formula>ISBLANK(C166)</formula>
    </cfRule>
  </conditionalFormatting>
  <conditionalFormatting sqref="C168 E168">
    <cfRule type="expression" dxfId="117" priority="66">
      <formula>ISBLANK(C168)</formula>
    </cfRule>
  </conditionalFormatting>
  <conditionalFormatting sqref="C170 E170">
    <cfRule type="expression" dxfId="116" priority="63">
      <formula>ISBLANK(C170)</formula>
    </cfRule>
  </conditionalFormatting>
  <conditionalFormatting sqref="C194:Y194">
    <cfRule type="cellIs" dxfId="115" priority="42" operator="equal">
      <formula>0</formula>
    </cfRule>
  </conditionalFormatting>
  <conditionalFormatting sqref="D53:Z53">
    <cfRule type="cellIs" dxfId="114" priority="384" operator="equal">
      <formula>0</formula>
    </cfRule>
  </conditionalFormatting>
  <conditionalFormatting sqref="D98:Z98">
    <cfRule type="cellIs" dxfId="113" priority="382" operator="equal">
      <formula>0</formula>
    </cfRule>
  </conditionalFormatting>
  <conditionalFormatting sqref="D142:Z142">
    <cfRule type="cellIs" dxfId="112" priority="377" operator="equal">
      <formula>0</formula>
    </cfRule>
  </conditionalFormatting>
  <conditionalFormatting sqref="E66:E67">
    <cfRule type="expression" priority="13" stopIfTrue="1">
      <formula>$AL$46=2</formula>
    </cfRule>
    <cfRule type="cellIs" priority="14" stopIfTrue="1" operator="greaterThan">
      <formula>0</formula>
    </cfRule>
    <cfRule type="expression" dxfId="111" priority="15">
      <formula>#REF!</formula>
    </cfRule>
  </conditionalFormatting>
  <conditionalFormatting sqref="E148 C148">
    <cfRule type="expression" priority="113" stopIfTrue="1">
      <formula>$AM$148=2</formula>
    </cfRule>
  </conditionalFormatting>
  <conditionalFormatting sqref="E148">
    <cfRule type="expression" dxfId="110" priority="112">
      <formula>$AN$148=2</formula>
    </cfRule>
  </conditionalFormatting>
  <conditionalFormatting sqref="E150 C150">
    <cfRule type="expression" priority="139" stopIfTrue="1">
      <formula>$AM150=2</formula>
    </cfRule>
  </conditionalFormatting>
  <conditionalFormatting sqref="E150">
    <cfRule type="expression" dxfId="109" priority="138">
      <formula>$AN150=2</formula>
    </cfRule>
  </conditionalFormatting>
  <conditionalFormatting sqref="E152 C152">
    <cfRule type="expression" priority="86" stopIfTrue="1">
      <formula>$AM152=2</formula>
    </cfRule>
  </conditionalFormatting>
  <conditionalFormatting sqref="E152">
    <cfRule type="expression" dxfId="108" priority="85">
      <formula>$AN152=2</formula>
    </cfRule>
  </conditionalFormatting>
  <conditionalFormatting sqref="E154 C154">
    <cfRule type="expression" priority="83" stopIfTrue="1">
      <formula>$AM154=2</formula>
    </cfRule>
  </conditionalFormatting>
  <conditionalFormatting sqref="E154">
    <cfRule type="expression" dxfId="107" priority="82">
      <formula>$AN154=2</formula>
    </cfRule>
  </conditionalFormatting>
  <conditionalFormatting sqref="E156 C156">
    <cfRule type="expression" priority="80" stopIfTrue="1">
      <formula>$AM156=2</formula>
    </cfRule>
  </conditionalFormatting>
  <conditionalFormatting sqref="E156">
    <cfRule type="expression" dxfId="106" priority="79">
      <formula>$AN156=2</formula>
    </cfRule>
  </conditionalFormatting>
  <conditionalFormatting sqref="E158 C158">
    <cfRule type="expression" priority="29" stopIfTrue="1">
      <formula>$AM158=2</formula>
    </cfRule>
  </conditionalFormatting>
  <conditionalFormatting sqref="E158">
    <cfRule type="expression" dxfId="105" priority="28">
      <formula>$AN158=2</formula>
    </cfRule>
  </conditionalFormatting>
  <conditionalFormatting sqref="E160 C160">
    <cfRule type="expression" priority="24" stopIfTrue="1">
      <formula>$AM160=2</formula>
    </cfRule>
  </conditionalFormatting>
  <conditionalFormatting sqref="E160">
    <cfRule type="expression" dxfId="104" priority="23">
      <formula>$AN160=2</formula>
    </cfRule>
  </conditionalFormatting>
  <conditionalFormatting sqref="E162 C162">
    <cfRule type="expression" priority="19" stopIfTrue="1">
      <formula>$AM162=2</formula>
    </cfRule>
  </conditionalFormatting>
  <conditionalFormatting sqref="E162">
    <cfRule type="expression" dxfId="103" priority="18">
      <formula>$AN162=2</formula>
    </cfRule>
  </conditionalFormatting>
  <conditionalFormatting sqref="E164 C164">
    <cfRule type="expression" priority="77" stopIfTrue="1">
      <formula>$AM164=2</formula>
    </cfRule>
  </conditionalFormatting>
  <conditionalFormatting sqref="E164">
    <cfRule type="expression" dxfId="102" priority="76">
      <formula>$AN164=2</formula>
    </cfRule>
  </conditionalFormatting>
  <conditionalFormatting sqref="E166 C166">
    <cfRule type="expression" priority="74" stopIfTrue="1">
      <formula>$AM166=2</formula>
    </cfRule>
  </conditionalFormatting>
  <conditionalFormatting sqref="E166">
    <cfRule type="expression" dxfId="101" priority="73">
      <formula>$AN166=2</formula>
    </cfRule>
  </conditionalFormatting>
  <conditionalFormatting sqref="E168 C168">
    <cfRule type="expression" priority="65" stopIfTrue="1">
      <formula>$AM168=2</formula>
    </cfRule>
  </conditionalFormatting>
  <conditionalFormatting sqref="E168">
    <cfRule type="expression" dxfId="100" priority="64">
      <formula>$AN168=2</formula>
    </cfRule>
  </conditionalFormatting>
  <conditionalFormatting sqref="E170 C170">
    <cfRule type="expression" priority="62" stopIfTrue="1">
      <formula>$AM170=2</formula>
    </cfRule>
  </conditionalFormatting>
  <conditionalFormatting sqref="E170">
    <cfRule type="expression" dxfId="99" priority="61">
      <formula>$AN170=2</formula>
    </cfRule>
  </conditionalFormatting>
  <conditionalFormatting sqref="E177:E178">
    <cfRule type="expression" dxfId="98" priority="149">
      <formula>ISBLANK(E177)</formula>
    </cfRule>
  </conditionalFormatting>
  <conditionalFormatting sqref="E179:Y179 E180:E182">
    <cfRule type="expression" dxfId="97" priority="147">
      <formula>ISBLANK(E179)</formula>
    </cfRule>
  </conditionalFormatting>
  <conditionalFormatting sqref="E7:Z8 AF8">
    <cfRule type="cellIs" dxfId="96" priority="371" operator="equal">
      <formula>0</formula>
    </cfRule>
  </conditionalFormatting>
  <conditionalFormatting sqref="F128:F132">
    <cfRule type="expression" dxfId="95" priority="40">
      <formula>ISBLANK(F128)</formula>
    </cfRule>
  </conditionalFormatting>
  <conditionalFormatting sqref="F135:F139 AH137 Z137:Z138 AG139">
    <cfRule type="expression" dxfId="94" priority="480">
      <formula>ISBLANK(F135)</formula>
    </cfRule>
    <cfRule type="expression" priority="392" stopIfTrue="1">
      <formula>$AM$134=2</formula>
    </cfRule>
  </conditionalFormatting>
  <conditionalFormatting sqref="G10 N10 Z10 AH10">
    <cfRule type="expression" dxfId="93" priority="390">
      <formula>ISBLANK(G10)</formula>
    </cfRule>
  </conditionalFormatting>
  <conditionalFormatting sqref="I110:I115">
    <cfRule type="cellIs" dxfId="92" priority="545" operator="notEqual">
      <formula>$I103</formula>
    </cfRule>
    <cfRule type="expression" dxfId="91" priority="544" stopIfTrue="1">
      <formula>ISBLANK(I110)</formula>
    </cfRule>
  </conditionalFormatting>
  <conditionalFormatting sqref="M68 P68">
    <cfRule type="expression" dxfId="90" priority="11">
      <formula>#REF!=1</formula>
    </cfRule>
  </conditionalFormatting>
  <conditionalFormatting sqref="N103:N108">
    <cfRule type="expression" dxfId="89" priority="1179">
      <formula>ISBLANK(N103)</formula>
    </cfRule>
  </conditionalFormatting>
  <conditionalFormatting sqref="N110:N115">
    <cfRule type="cellIs" dxfId="88" priority="539" operator="notEqual">
      <formula>$N103</formula>
    </cfRule>
    <cfRule type="expression" dxfId="87" priority="538" stopIfTrue="1">
      <formula>ISBLANK(N110)</formula>
    </cfRule>
  </conditionalFormatting>
  <conditionalFormatting sqref="O180 W180">
    <cfRule type="expression" dxfId="86" priority="146">
      <formula>ISBLANK(O180)</formula>
    </cfRule>
  </conditionalFormatting>
  <conditionalFormatting sqref="P68">
    <cfRule type="expression" dxfId="85" priority="12">
      <formula>#REF!=2</formula>
    </cfRule>
  </conditionalFormatting>
  <conditionalFormatting sqref="S103:S108 X103:X108 AC103:AC108">
    <cfRule type="expression" dxfId="84" priority="479">
      <formula>ISBLANK(S103)</formula>
    </cfRule>
  </conditionalFormatting>
  <conditionalFormatting sqref="S110:S115 X110:X115 AC110:AC115">
    <cfRule type="expression" dxfId="83" priority="158" stopIfTrue="1">
      <formula>ISBLANK(S110)</formula>
    </cfRule>
  </conditionalFormatting>
  <conditionalFormatting sqref="V73:X73">
    <cfRule type="expression" dxfId="82" priority="154">
      <formula>ISBLANK($V$73)</formula>
    </cfRule>
  </conditionalFormatting>
  <conditionalFormatting sqref="Y18 AB18 AB27">
    <cfRule type="cellIs" priority="326" stopIfTrue="1" operator="greaterThan">
      <formula>0</formula>
    </cfRule>
    <cfRule type="expression" priority="327" stopIfTrue="1">
      <formula>$AM$27=2</formula>
    </cfRule>
    <cfRule type="expression" dxfId="81" priority="328">
      <formula>ISBLANK(AB18)</formula>
    </cfRule>
  </conditionalFormatting>
  <conditionalFormatting sqref="Y27">
    <cfRule type="cellIs" priority="33" stopIfTrue="1" operator="greaterThan">
      <formula>0</formula>
    </cfRule>
    <cfRule type="expression" priority="34" stopIfTrue="1">
      <formula>$AM$27=2</formula>
    </cfRule>
    <cfRule type="expression" dxfId="80" priority="35">
      <formula>ISBLANK(AB27)</formula>
    </cfRule>
  </conditionalFormatting>
  <conditionalFormatting sqref="Y150 AC150">
    <cfRule type="expression" dxfId="79" priority="137">
      <formula>$AO150=2</formula>
    </cfRule>
    <cfRule type="cellIs" priority="136" stopIfTrue="1" operator="greaterThan">
      <formula>0</formula>
    </cfRule>
  </conditionalFormatting>
  <conditionalFormatting sqref="Y152 AC152">
    <cfRule type="expression" dxfId="78" priority="60">
      <formula>$AO152=2</formula>
    </cfRule>
    <cfRule type="cellIs" priority="59" stopIfTrue="1" operator="greaterThan">
      <formula>0</formula>
    </cfRule>
  </conditionalFormatting>
  <conditionalFormatting sqref="Y154 AC154">
    <cfRule type="cellIs" priority="57" stopIfTrue="1" operator="greaterThan">
      <formula>0</formula>
    </cfRule>
    <cfRule type="expression" dxfId="77" priority="58">
      <formula>$AO154=2</formula>
    </cfRule>
  </conditionalFormatting>
  <conditionalFormatting sqref="Y156 AC156">
    <cfRule type="cellIs" priority="55" stopIfTrue="1" operator="greaterThan">
      <formula>0</formula>
    </cfRule>
    <cfRule type="expression" dxfId="76" priority="56">
      <formula>$AO156=2</formula>
    </cfRule>
  </conditionalFormatting>
  <conditionalFormatting sqref="Y158 AC158">
    <cfRule type="expression" dxfId="75" priority="27">
      <formula>$AO158=2</formula>
    </cfRule>
    <cfRule type="cellIs" priority="26" stopIfTrue="1" operator="greaterThan">
      <formula>0</formula>
    </cfRule>
  </conditionalFormatting>
  <conditionalFormatting sqref="Y160 AC160">
    <cfRule type="cellIs" priority="21" stopIfTrue="1" operator="greaterThan">
      <formula>0</formula>
    </cfRule>
    <cfRule type="expression" dxfId="74" priority="22">
      <formula>$AO160=2</formula>
    </cfRule>
  </conditionalFormatting>
  <conditionalFormatting sqref="Y162 AC162">
    <cfRule type="cellIs" priority="16" stopIfTrue="1" operator="greaterThan">
      <formula>0</formula>
    </cfRule>
    <cfRule type="expression" dxfId="73" priority="17">
      <formula>$AO162=2</formula>
    </cfRule>
  </conditionalFormatting>
  <conditionalFormatting sqref="Y164 AC164">
    <cfRule type="expression" dxfId="72" priority="54">
      <formula>$AO164=2</formula>
    </cfRule>
    <cfRule type="cellIs" priority="53" stopIfTrue="1" operator="greaterThan">
      <formula>0</formula>
    </cfRule>
  </conditionalFormatting>
  <conditionalFormatting sqref="Y166 AC166">
    <cfRule type="expression" dxfId="71" priority="52">
      <formula>$AO166=2</formula>
    </cfRule>
    <cfRule type="cellIs" priority="51" stopIfTrue="1" operator="greaterThan">
      <formula>0</formula>
    </cfRule>
  </conditionalFormatting>
  <conditionalFormatting sqref="Y168 AC168">
    <cfRule type="expression" dxfId="70" priority="46">
      <formula>$AO168=2</formula>
    </cfRule>
    <cfRule type="cellIs" priority="45" stopIfTrue="1" operator="greaterThan">
      <formula>0</formula>
    </cfRule>
  </conditionalFormatting>
  <conditionalFormatting sqref="Y170 AC170">
    <cfRule type="expression" dxfId="69" priority="44">
      <formula>$AO170=2</formula>
    </cfRule>
    <cfRule type="cellIs" priority="43" stopIfTrue="1" operator="greaterThan">
      <formula>0</formula>
    </cfRule>
  </conditionalFormatting>
  <conditionalFormatting sqref="Y42:AA42">
    <cfRule type="cellIs" priority="186" stopIfTrue="1" operator="greaterThan">
      <formula>0</formula>
    </cfRule>
    <cfRule type="expression" priority="185" stopIfTrue="1">
      <formula>$AM$43=2</formula>
    </cfRule>
    <cfRule type="expression" dxfId="68" priority="187">
      <formula>ISBLANK(Y42)</formula>
    </cfRule>
  </conditionalFormatting>
  <conditionalFormatting sqref="Y42:AA44 AH43:AJ44">
    <cfRule type="expression" priority="177" stopIfTrue="1">
      <formula>$AM$39=2</formula>
    </cfRule>
  </conditionalFormatting>
  <conditionalFormatting sqref="Y43:AA43 AH43:AJ43">
    <cfRule type="expression" dxfId="67" priority="183">
      <formula>ISBLANK(Y43)</formula>
    </cfRule>
    <cfRule type="expression" priority="181" stopIfTrue="1">
      <formula>$AM$42=2</formula>
    </cfRule>
    <cfRule type="cellIs" priority="182" stopIfTrue="1" operator="greaterThan">
      <formula>0</formula>
    </cfRule>
  </conditionalFormatting>
  <conditionalFormatting sqref="Y44:AA44 AH44:AJ44">
    <cfRule type="expression" dxfId="66" priority="179">
      <formula>ISBLANK(Y44)</formula>
    </cfRule>
    <cfRule type="cellIs" priority="178" stopIfTrue="1" operator="greaterThan">
      <formula>0</formula>
    </cfRule>
  </conditionalFormatting>
  <conditionalFormatting sqref="Y30:AB30 AB32:AD33 AG32:AI33">
    <cfRule type="cellIs" priority="205" stopIfTrue="1" operator="greaterThan">
      <formula>0</formula>
    </cfRule>
    <cfRule type="expression" priority="206" stopIfTrue="1">
      <formula>$AM$29=2</formula>
    </cfRule>
    <cfRule type="expression" dxfId="65" priority="207">
      <formula>ISBLANK(Y30)</formula>
    </cfRule>
  </conditionalFormatting>
  <conditionalFormatting sqref="Y36:AB36 AG36:AI37">
    <cfRule type="cellIs" priority="198" stopIfTrue="1" operator="greaterThan">
      <formula>0</formula>
    </cfRule>
    <cfRule type="expression" priority="199" stopIfTrue="1">
      <formula>$AM$35=2</formula>
    </cfRule>
    <cfRule type="expression" dxfId="64" priority="200">
      <formula>ISBLANK(Y36)</formula>
    </cfRule>
  </conditionalFormatting>
  <conditionalFormatting sqref="Y41:AB41 AH41:AJ41">
    <cfRule type="expression" priority="188" stopIfTrue="1">
      <formula>$AM$39=2</formula>
    </cfRule>
    <cfRule type="cellIs" priority="189" stopIfTrue="1" operator="greaterThan">
      <formula>0</formula>
    </cfRule>
    <cfRule type="expression" dxfId="63" priority="190">
      <formula>ISBLANK(AA41)</formula>
    </cfRule>
  </conditionalFormatting>
  <conditionalFormatting sqref="Z47:Z48">
    <cfRule type="expression" dxfId="62" priority="174">
      <formula>ISBLANK(Z47)</formula>
    </cfRule>
    <cfRule type="cellIs" priority="173" stopIfTrue="1" operator="greaterThan">
      <formula>0</formula>
    </cfRule>
  </conditionalFormatting>
  <conditionalFormatting sqref="Z48">
    <cfRule type="expression" priority="172" stopIfTrue="1">
      <formula>$AM$49=2</formula>
    </cfRule>
  </conditionalFormatting>
  <conditionalFormatting sqref="Z49 AH49:AJ49">
    <cfRule type="expression" priority="169" stopIfTrue="1">
      <formula>$AM$48=2</formula>
    </cfRule>
  </conditionalFormatting>
  <conditionalFormatting sqref="Z130:Z131">
    <cfRule type="expression" dxfId="61" priority="6">
      <formula>ISBLANK(Z130)</formula>
    </cfRule>
  </conditionalFormatting>
  <conditionalFormatting sqref="Z131">
    <cfRule type="expression" priority="5" stopIfTrue="1">
      <formula>$AM$134=2</formula>
    </cfRule>
  </conditionalFormatting>
  <conditionalFormatting sqref="Z134">
    <cfRule type="expression" priority="157" stopIfTrue="1">
      <formula>$AM$135=2</formula>
    </cfRule>
    <cfRule type="expression" dxfId="60" priority="395">
      <formula>ISBLANK(Z134)</formula>
    </cfRule>
  </conditionalFormatting>
  <conditionalFormatting sqref="Z47:AC47 AH47:AJ49 Z48:AB49">
    <cfRule type="expression" priority="1" stopIfTrue="1">
      <formula>$AM$46=2</formula>
    </cfRule>
  </conditionalFormatting>
  <conditionalFormatting sqref="AA73">
    <cfRule type="expression" dxfId="59" priority="451">
      <formula>$AP$73=2</formula>
    </cfRule>
    <cfRule type="expression" priority="388" stopIfTrue="1">
      <formula>$AM$73=1</formula>
    </cfRule>
  </conditionalFormatting>
  <conditionalFormatting sqref="AA73:AA86 AG73:AG86">
    <cfRule type="cellIs" priority="396" stopIfTrue="1" operator="greaterThan">
      <formula>0</formula>
    </cfRule>
  </conditionalFormatting>
  <conditionalFormatting sqref="AA74 AG74">
    <cfRule type="expression" dxfId="58" priority="433">
      <formula>$AP$74=2</formula>
    </cfRule>
  </conditionalFormatting>
  <conditionalFormatting sqref="AA75 AG75">
    <cfRule type="expression" dxfId="57" priority="431">
      <formula>$AP$75=2</formula>
    </cfRule>
  </conditionalFormatting>
  <conditionalFormatting sqref="AA76 AG76">
    <cfRule type="expression" dxfId="56" priority="429">
      <formula>$AP$76=2</formula>
    </cfRule>
  </conditionalFormatting>
  <conditionalFormatting sqref="AA77">
    <cfRule type="expression" dxfId="55" priority="449">
      <formula>$AP$77=2</formula>
    </cfRule>
  </conditionalFormatting>
  <conditionalFormatting sqref="AA78">
    <cfRule type="expression" dxfId="54" priority="447">
      <formula>$AP$78=2</formula>
    </cfRule>
  </conditionalFormatting>
  <conditionalFormatting sqref="AA79 AG79">
    <cfRule type="expression" dxfId="53" priority="423">
      <formula>$AP$79=2</formula>
    </cfRule>
  </conditionalFormatting>
  <conditionalFormatting sqref="AA80">
    <cfRule type="expression" dxfId="52" priority="437">
      <formula>$AP$80=2</formula>
    </cfRule>
  </conditionalFormatting>
  <conditionalFormatting sqref="AA81">
    <cfRule type="expression" dxfId="51" priority="413">
      <formula>$AP$81=2</formula>
    </cfRule>
  </conditionalFormatting>
  <conditionalFormatting sqref="AA82">
    <cfRule type="expression" dxfId="50" priority="411">
      <formula>$AP$82=2</formula>
    </cfRule>
  </conditionalFormatting>
  <conditionalFormatting sqref="AA83 AG83">
    <cfRule type="expression" dxfId="49" priority="409">
      <formula>$AP$83=2</formula>
    </cfRule>
  </conditionalFormatting>
  <conditionalFormatting sqref="AA84 AG84">
    <cfRule type="expression" dxfId="48" priority="407">
      <formula>$AP$84=2</formula>
    </cfRule>
  </conditionalFormatting>
  <conditionalFormatting sqref="AA85 AG85">
    <cfRule type="expression" dxfId="47" priority="405">
      <formula>$AP$85=2</formula>
    </cfRule>
  </conditionalFormatting>
  <conditionalFormatting sqref="AA86 AG86">
    <cfRule type="expression" dxfId="46" priority="403">
      <formula>$AP$86=2</formula>
    </cfRule>
  </conditionalFormatting>
  <conditionalFormatting sqref="AA65:AI65 X66 AE66 X68:Y68">
    <cfRule type="expression" dxfId="45" priority="10">
      <formula>ISBLANK(X65)</formula>
    </cfRule>
  </conditionalFormatting>
  <conditionalFormatting sqref="AB29">
    <cfRule type="cellIs" priority="204" stopIfTrue="1" operator="greaterThan">
      <formula>0</formula>
    </cfRule>
    <cfRule type="expression" priority="208" stopIfTrue="1">
      <formula>$AM$30=2</formula>
    </cfRule>
    <cfRule type="expression" dxfId="44" priority="209">
      <formula>ISBLANK(AB29)</formula>
    </cfRule>
  </conditionalFormatting>
  <conditionalFormatting sqref="AB35">
    <cfRule type="expression" dxfId="43" priority="203">
      <formula>ISBLANK(AB35)</formula>
    </cfRule>
    <cfRule type="expression" priority="202" stopIfTrue="1">
      <formula>$AM$36=2</formula>
    </cfRule>
    <cfRule type="cellIs" priority="201" stopIfTrue="1" operator="greaterThan">
      <formula>0</formula>
    </cfRule>
  </conditionalFormatting>
  <conditionalFormatting sqref="AB39">
    <cfRule type="expression" priority="196" stopIfTrue="1">
      <formula>$AM$41=2</formula>
    </cfRule>
    <cfRule type="expression" dxfId="42" priority="197">
      <formula>ISBLANK(AB39)</formula>
    </cfRule>
    <cfRule type="cellIs" priority="195" stopIfTrue="1" operator="greaterThan">
      <formula>0</formula>
    </cfRule>
  </conditionalFormatting>
  <conditionalFormatting sqref="AB46">
    <cfRule type="cellIs" priority="2" stopIfTrue="1" operator="greaterThan">
      <formula>0</formula>
    </cfRule>
    <cfRule type="expression" priority="3" stopIfTrue="1">
      <formula>$AM$41=2</formula>
    </cfRule>
    <cfRule type="expression" dxfId="41" priority="4">
      <formula>ISBLANK(AB46)</formula>
    </cfRule>
  </conditionalFormatting>
  <conditionalFormatting sqref="AB21:AD25 AG21:AI25">
    <cfRule type="cellIs" priority="317" stopIfTrue="1" operator="greaterThan">
      <formula>0</formula>
    </cfRule>
    <cfRule type="expression" dxfId="40" priority="318">
      <formula>ISBLANK(AG21)</formula>
    </cfRule>
  </conditionalFormatting>
  <conditionalFormatting sqref="AC103:AC108">
    <cfRule type="cellIs" dxfId="39" priority="482" operator="greaterThan">
      <formula>6</formula>
    </cfRule>
  </conditionalFormatting>
  <conditionalFormatting sqref="AC110:AC115">
    <cfRule type="cellIs" dxfId="38" priority="1345" operator="greaterThan">
      <formula>$AQ$102</formula>
    </cfRule>
  </conditionalFormatting>
  <conditionalFormatting sqref="AC184">
    <cfRule type="expression" dxfId="37" priority="148">
      <formula>ISBLANK(AC184)</formula>
    </cfRule>
  </conditionalFormatting>
  <conditionalFormatting sqref="AD6">
    <cfRule type="cellIs" dxfId="36" priority="7" operator="equal">
      <formula>0</formula>
    </cfRule>
  </conditionalFormatting>
  <conditionalFormatting sqref="AD61:AD62">
    <cfRule type="expression" dxfId="35" priority="475">
      <formula>ISBLANK(AD61)</formula>
    </cfRule>
  </conditionalFormatting>
  <conditionalFormatting sqref="AD89">
    <cfRule type="expression" dxfId="34" priority="534">
      <formula>ISBLANK(AD89)</formula>
    </cfRule>
    <cfRule type="cellIs" dxfId="33" priority="535" operator="lessThan">
      <formula>$J89</formula>
    </cfRule>
  </conditionalFormatting>
  <conditionalFormatting sqref="AD61:AG61">
    <cfRule type="expression" dxfId="32" priority="37">
      <formula>$AS$61=3</formula>
    </cfRule>
  </conditionalFormatting>
  <conditionalFormatting sqref="AD62:AG62">
    <cfRule type="expression" dxfId="31" priority="36">
      <formula>$AS$62=3</formula>
    </cfRule>
  </conditionalFormatting>
  <conditionalFormatting sqref="AF7">
    <cfRule type="expression" dxfId="30" priority="151">
      <formula>ISBLANK(AF7)</formula>
    </cfRule>
  </conditionalFormatting>
  <conditionalFormatting sqref="AF194:AJ195">
    <cfRule type="cellIs" dxfId="29" priority="41" operator="equal">
      <formula>0</formula>
    </cfRule>
  </conditionalFormatting>
  <conditionalFormatting sqref="AG14:AG15">
    <cfRule type="expression" dxfId="28" priority="291">
      <formula>ISBLANK(AG14)</formula>
    </cfRule>
  </conditionalFormatting>
  <conditionalFormatting sqref="AG15">
    <cfRule type="cellIs" priority="290" stopIfTrue="1" operator="greaterThan">
      <formula>0</formula>
    </cfRule>
  </conditionalFormatting>
  <conditionalFormatting sqref="AG17 AJ17">
    <cfRule type="expression" dxfId="27" priority="211">
      <formula>ISBLANK(AG17)</formula>
    </cfRule>
    <cfRule type="expression" priority="210" stopIfTrue="1">
      <formula>$AM$17=2</formula>
    </cfRule>
  </conditionalFormatting>
  <conditionalFormatting sqref="AG40 AJ40">
    <cfRule type="expression" dxfId="26" priority="194">
      <formula>ISBLANK(AG40)</formula>
    </cfRule>
    <cfRule type="expression" priority="191" stopIfTrue="1">
      <formula>$AM$39=2</formula>
    </cfRule>
    <cfRule type="cellIs" priority="192" stopIfTrue="1" operator="greaterThan">
      <formula>0</formula>
    </cfRule>
    <cfRule type="expression" priority="193" stopIfTrue="1">
      <formula>$AM$40=2</formula>
    </cfRule>
  </conditionalFormatting>
  <conditionalFormatting sqref="AG73">
    <cfRule type="expression" priority="434" stopIfTrue="1">
      <formula>$AN$73=1</formula>
    </cfRule>
    <cfRule type="expression" dxfId="25" priority="485">
      <formula>$AP$73=2</formula>
    </cfRule>
  </conditionalFormatting>
  <conditionalFormatting sqref="AG77">
    <cfRule type="expression" dxfId="24" priority="427">
      <formula>$AP$77=2</formula>
    </cfRule>
  </conditionalFormatting>
  <conditionalFormatting sqref="AG78">
    <cfRule type="expression" dxfId="23" priority="425">
      <formula>$AP$78=2</formula>
    </cfRule>
  </conditionalFormatting>
  <conditionalFormatting sqref="AG80">
    <cfRule type="expression" dxfId="22" priority="415">
      <formula>$AP$80=2</formula>
    </cfRule>
  </conditionalFormatting>
  <conditionalFormatting sqref="AG81">
    <cfRule type="expression" dxfId="21" priority="441">
      <formula>$AP$81=2</formula>
    </cfRule>
  </conditionalFormatting>
  <conditionalFormatting sqref="AG82">
    <cfRule type="expression" dxfId="20" priority="439">
      <formula>$AP$82=2</formula>
    </cfRule>
  </conditionalFormatting>
  <conditionalFormatting sqref="AG18:AK18">
    <cfRule type="expression" dxfId="19" priority="325">
      <formula>$AN$18=2</formula>
    </cfRule>
    <cfRule type="cellIs" priority="324" stopIfTrue="1" operator="greaterThan">
      <formula>0</formula>
    </cfRule>
  </conditionalFormatting>
  <conditionalFormatting sqref="AG27:AK27">
    <cfRule type="expression" dxfId="18" priority="32">
      <formula>$AN$27=2</formula>
    </cfRule>
    <cfRule type="cellIs" priority="31" stopIfTrue="1" operator="greaterThan">
      <formula>0</formula>
    </cfRule>
  </conditionalFormatting>
  <conditionalFormatting sqref="AG53:AK54">
    <cfRule type="cellIs" dxfId="17" priority="370" operator="equal">
      <formula>0</formula>
    </cfRule>
  </conditionalFormatting>
  <conditionalFormatting sqref="AG98:AK99">
    <cfRule type="cellIs" dxfId="16" priority="369" operator="equal">
      <formula>0</formula>
    </cfRule>
  </conditionalFormatting>
  <conditionalFormatting sqref="AG132:AK132">
    <cfRule type="expression" dxfId="15" priority="393">
      <formula>ISBLANK(AG132)</formula>
    </cfRule>
  </conditionalFormatting>
  <conditionalFormatting sqref="AG142:AK143">
    <cfRule type="cellIs" dxfId="14" priority="358" operator="equal">
      <formula>0</formula>
    </cfRule>
  </conditionalFormatting>
  <conditionalFormatting sqref="AH47 AC57:AE58 AH57:AJ58">
    <cfRule type="expression" dxfId="13" priority="176">
      <formula>ISBLANK(AC47)</formula>
    </cfRule>
  </conditionalFormatting>
  <conditionalFormatting sqref="AH130">
    <cfRule type="expression" dxfId="12" priority="394">
      <formula>ISBLANK(AH130)</formula>
    </cfRule>
  </conditionalFormatting>
  <conditionalFormatting sqref="AH48:AJ49 Z49">
    <cfRule type="expression" dxfId="11" priority="171">
      <formula>ISBLANK(Z48)</formula>
    </cfRule>
    <cfRule type="cellIs" priority="170" stopIfTrue="1" operator="greaterThan">
      <formula>0</formula>
    </cfRule>
  </conditionalFormatting>
  <conditionalFormatting sqref="AH57:AJ57">
    <cfRule type="cellIs" dxfId="10" priority="160" operator="greaterThan">
      <formula>48</formula>
    </cfRule>
  </conditionalFormatting>
  <conditionalFormatting sqref="AH57:AJ58 AH47 AC57:AE58">
    <cfRule type="cellIs" priority="175" stopIfTrue="1" operator="greaterThan">
      <formula>0</formula>
    </cfRule>
  </conditionalFormatting>
  <conditionalFormatting sqref="AH58:AJ58">
    <cfRule type="cellIs" dxfId="9" priority="159" operator="greaterThan">
      <formula>12</formula>
    </cfRule>
  </conditionalFormatting>
  <conditionalFormatting sqref="AH103:AK108">
    <cfRule type="expression" dxfId="8" priority="39">
      <formula>$AM103=1</formula>
    </cfRule>
    <cfRule type="expression" dxfId="7" priority="144">
      <formula>$AN103=1</formula>
    </cfRule>
    <cfRule type="expression" dxfId="6" priority="145">
      <formula>$AO103=1</formula>
    </cfRule>
  </conditionalFormatting>
  <conditionalFormatting sqref="AH110:AK115">
    <cfRule type="expression" dxfId="5" priority="38">
      <formula>ISBLANK($AH110)</formula>
    </cfRule>
    <cfRule type="expression" dxfId="4" priority="141">
      <formula>$AS110=1</formula>
    </cfRule>
    <cfRule type="expression" dxfId="3" priority="142">
      <formula>$AQ110=1</formula>
    </cfRule>
    <cfRule type="expression" dxfId="2" priority="143">
      <formula>$AR110=1</formula>
    </cfRule>
  </conditionalFormatting>
  <conditionalFormatting sqref="AI68 AF68">
    <cfRule type="expression" dxfId="1" priority="9">
      <formula>$AN$68=1</formula>
    </cfRule>
  </conditionalFormatting>
  <conditionalFormatting sqref="AI68">
    <cfRule type="expression" dxfId="0" priority="8">
      <formula>$AO$68=2</formula>
    </cfRule>
  </conditionalFormatting>
  <pageMargins left="0.2" right="0.2" top="0.5" bottom="0.25" header="0.3" footer="0.3"/>
  <pageSetup orientation="portrait" r:id="rId1"/>
  <rowBreaks count="4" manualBreakCount="4">
    <brk id="52" max="16383" man="1"/>
    <brk id="97" max="16383" man="1"/>
    <brk id="141" max="16383" man="1"/>
    <brk id="193" max="16383" man="1"/>
  </rowBreaks>
  <colBreaks count="1" manualBreakCount="1">
    <brk id="45" max="1048575" man="1"/>
  </colBreaks>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r:uid="{15328467-34E1-4429-BBED-E9EF3D4805F6}">
          <x14:formula1>
            <xm:f>Tables!$F$2:$F$7</xm:f>
          </x14:formula1>
          <xm:sqref>AH47 AH41 W51:Y59 H51:H59</xm:sqref>
        </x14:dataValidation>
        <x14:dataValidation type="list" allowBlank="1" showInputMessage="1" showErrorMessage="1" xr:uid="{64216A89-3628-4662-B5C6-D5F8088EE96C}">
          <x14:formula1>
            <xm:f>Tables!$H$9:$H$14</xm:f>
          </x14:formula1>
          <xm:sqref>AA65:AI65</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1FC5F858-7647-4605-924B-0C810A9E179C}">
          <x14:formula1>
            <xm:f>Tables!$B$8</xm:f>
          </x14:formula1>
          <xm:sqref>AC184:AG184 G10 N10 Z10 AH10 AG14:AI15 AJ17 AG17 Y18 AB18 AG18:AK18 AB21:AD25 AG21:AI25 Y27 AB27 AG27:AK27 AB29 AB32:AD33 AG32:AI33 AB46 AB39 AG40 AJ40 Y42:AA44 AH43:AJ44 Z48:AB49 AH48:AJ49 AC57:AE58 AH57:AJ58 AD61:AG62 AD6 X68:Y68 X66 AF68 AI68 V73:X86 AA73:AD86 AG73:AJ86 AD89:AF89 I110:L115 N110:Q115 S110:V115 X110:AA115 AC110:AF115 AH110:AK115 B118:AK125 F128:V132 Z130:AC130 AH130:AK130 AG132:AK132 Z134 Z137:AC137 AH137:AK137 AE66 AG139:AK139 F135:V139 C148 C150 C152 C154 C156 C158 C160 C162 C164 C166 C168 C170 E170 E168 E166 E164 E162 E160 E158 E156 E154 E152 E150 E148 Y150:Z150 Y152:Z152 Y154:Z154 Y156:Z156 Y158:Z158 Y160:Z160 Y162:Z162 Y164:Z164 Y166:Z166 Y168:Z168 Y170:Z170 AC170:AI170 AC168:AI168 AC166:AI166 AC164:AI164 AC162:AI162 AC160:AI160 AC158:AI158 AC156:AI156 AC154:AI154 AC152:AI152 AC150:AI150 E177:Y179 E180:K180 E181:Y181 E182:I182 O180:R180 W180:Y180 AF7:AK7 Z138 Z131 AG36:AI37</xm:sqref>
        </x14:dataValidation>
        <x14:dataValidation type="list" allowBlank="1" showInputMessage="1" showErrorMessage="1" xr:uid="{51C0DC14-5C5B-497E-ADE8-E14CEC9C6FC0}">
          <x14:formula1>
            <xm:f>Tables!$D$2:$D$9</xm:f>
          </x14:formula1>
          <xm:sqref>Y36 Z47 Y41 Y30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License</vt:lpstr>
      <vt:lpstr>General Instructions</vt:lpstr>
      <vt:lpstr>Form 2F.1 - Design</vt:lpstr>
      <vt:lpstr>Form 3F - As-built</vt:lpstr>
      <vt:lpstr>'Form 2F.1 - Design'!_Hlk16666466</vt:lpstr>
      <vt:lpstr>Material</vt:lpstr>
      <vt:lpstr>'Form 2F.1 - Design'!Print_Area</vt:lpstr>
      <vt:lpstr>'Form 3F - As-built'!Print_Area</vt:lpstr>
      <vt:lpstr>'Form 2F.1 - Design'!Print_Titles</vt:lpstr>
      <vt:lpstr>'Form 3F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2026-09-05T00:28:12Z</cp:lastPrinted>
  <dcterms:created xsi:type="dcterms:W3CDTF">2021-11-21T16:55:43Z</dcterms:created>
  <dcterms:modified xsi:type="dcterms:W3CDTF">2026-09-06T15:37:07Z</dcterms:modified>
</cp:coreProperties>
</file>