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66A2EF07-4FB3-4C55-8458-5587010D8007}" xr6:coauthVersionLast="47" xr6:coauthVersionMax="47" xr10:uidLastSave="{00000000-0000-0000-0000-000000000000}"/>
  <workbookProtection workbookAlgorithmName="SHA-512" workbookHashValue="ZfF84320WfQwbYl5CXMkdAo/OIX4NRDhCxH0+hx35cbfgYfGECPzUsyvyyqzzsKgU9/kBZR+rA3zIz1lKKvmjw==" workbookSaltValue="UL8svN0sfvJ8X+W6aqBZZg==" workbookSpinCount="100000" lockStructure="1"/>
  <bookViews>
    <workbookView xWindow="-14685" yWindow="-16320" windowWidth="29040" windowHeight="15720" tabRatio="695" firstSheet="1" activeTab="1" xr2:uid="{994EC860-6224-46C4-B304-9868EEFCD4CE}"/>
  </bookViews>
  <sheets>
    <sheet name="Tables" sheetId="2" state="veryHidden" r:id="rId1"/>
    <sheet name="License" sheetId="4" r:id="rId2"/>
    <sheet name="General Instructions" sheetId="9" r:id="rId3"/>
    <sheet name="Form 2D - Design" sheetId="5" r:id="rId4"/>
    <sheet name="Form 3D - As-built" sheetId="6" r:id="rId5"/>
  </sheets>
  <definedNames>
    <definedName name="Logo">INDEX(Tables!$F$40:$F$46,MATCH(Tables!$F$14,Tables!$E$40:$E$46,0))</definedName>
    <definedName name="Material">Tables!$D$2:$D$10</definedName>
    <definedName name="_xlnm.Print_Area" localSheetId="3">'Form 2D - Design'!$A$1:$AK$97</definedName>
    <definedName name="_xlnm.Print_Area" localSheetId="4">'Form 3D - As-built'!$A$1:$AL$154</definedName>
    <definedName name="_xlnm.Print_Titles" localSheetId="3">'Form 2D - Design'!$1:$4</definedName>
    <definedName name="_xlnm.Print_Titles" localSheetId="4">'Form 3D - As-built'!$1:$4</definedName>
    <definedName name="Shape">Tables!$F$2:$F$10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1" i="6" l="1"/>
  <c r="I31" i="6"/>
  <c r="I30" i="6"/>
  <c r="N30" i="6"/>
  <c r="N24" i="6"/>
  <c r="AP95" i="6"/>
  <c r="AO95" i="6"/>
  <c r="AN95" i="6"/>
  <c r="AM95" i="6"/>
  <c r="I24" i="6"/>
  <c r="AN14" i="5"/>
  <c r="P22" i="2"/>
  <c r="P19" i="2"/>
  <c r="AD6" i="6" l="1"/>
  <c r="B6" i="9" l="1"/>
  <c r="B34" i="9" s="1"/>
  <c r="B35" i="9" s="1"/>
  <c r="F38" i="2"/>
  <c r="O1" i="4"/>
  <c r="F37" i="2"/>
  <c r="F33" i="2"/>
  <c r="F32" i="2"/>
  <c r="F30" i="2"/>
  <c r="F29" i="2"/>
  <c r="F28" i="2"/>
  <c r="F27" i="2"/>
  <c r="F26" i="2"/>
  <c r="F25" i="2"/>
  <c r="F24" i="2"/>
  <c r="F23" i="2"/>
  <c r="F22" i="4" s="1"/>
  <c r="F22" i="2"/>
  <c r="F21" i="2"/>
  <c r="F20" i="2"/>
  <c r="F19" i="2"/>
  <c r="F18" i="2"/>
  <c r="F17" i="2"/>
  <c r="F16" i="2"/>
  <c r="F15" i="2"/>
  <c r="M22" i="2"/>
  <c r="M19" i="2"/>
  <c r="B7" i="2"/>
  <c r="B2" i="2"/>
  <c r="B6" i="2" s="1"/>
  <c r="O2" i="4" s="1"/>
  <c r="A2" i="4"/>
  <c r="F7" i="4" l="1"/>
  <c r="F32" i="4"/>
  <c r="F29" i="4"/>
  <c r="F13" i="4"/>
  <c r="B8" i="2"/>
  <c r="S22" i="2"/>
  <c r="R22" i="2"/>
  <c r="Q22" i="2"/>
  <c r="O22" i="2"/>
  <c r="N22" i="2"/>
  <c r="S19" i="2"/>
  <c r="R19" i="2"/>
  <c r="Q19" i="2"/>
  <c r="O19" i="2"/>
  <c r="N19" i="2"/>
  <c r="AQ10" i="5"/>
  <c r="AQ13" i="5" s="1"/>
  <c r="AQ31" i="5" s="1"/>
  <c r="AF126" i="6"/>
  <c r="L87" i="5"/>
  <c r="AL87" i="5" s="1"/>
  <c r="F34" i="2" l="1"/>
  <c r="F31" i="2"/>
  <c r="F3" i="4"/>
  <c r="F35" i="2"/>
  <c r="F36" i="2" s="1"/>
  <c r="AP65" i="6"/>
  <c r="AP64" i="6"/>
  <c r="L132" i="6" l="1"/>
  <c r="AM132" i="6" s="1"/>
  <c r="AO59" i="5"/>
  <c r="AO58" i="5"/>
  <c r="J21" i="5"/>
  <c r="AL17" i="5" s="1"/>
  <c r="AM14" i="5"/>
  <c r="AO14" i="5" s="1"/>
  <c r="AL14" i="5"/>
  <c r="K2" i="2"/>
  <c r="K3" i="2" s="1"/>
  <c r="K4" i="2" s="1"/>
  <c r="K5" i="2" s="1"/>
  <c r="K6" i="2" s="1"/>
  <c r="K7" i="2" s="1"/>
  <c r="K8" i="2" s="1"/>
  <c r="K9" i="2" s="1"/>
  <c r="K10" i="2" s="1"/>
  <c r="K11" i="2" s="1"/>
  <c r="K12" i="2" s="1"/>
  <c r="K13" i="2" s="1"/>
  <c r="K14" i="2" s="1"/>
  <c r="K15" i="2" s="1"/>
  <c r="K16" i="2" s="1"/>
  <c r="K17" i="2" s="1"/>
  <c r="K18" i="2" s="1"/>
  <c r="K19" i="2" s="1"/>
  <c r="K20" i="2" s="1"/>
  <c r="K21" i="2" s="1"/>
  <c r="K22" i="2" s="1"/>
  <c r="K23" i="2" s="1"/>
  <c r="AP107" i="6"/>
  <c r="AP105" i="6"/>
  <c r="AP103" i="6"/>
  <c r="AP101" i="6"/>
  <c r="AP99" i="6"/>
  <c r="AP97" i="6"/>
  <c r="AP93" i="6"/>
  <c r="AP91" i="6"/>
  <c r="AP89" i="6"/>
  <c r="K27" i="5" l="1"/>
  <c r="AL27" i="5"/>
  <c r="L89" i="5" s="1"/>
  <c r="N16" i="5"/>
  <c r="W17" i="5"/>
  <c r="AP87" i="6"/>
  <c r="AO107" i="6"/>
  <c r="AN107" i="6"/>
  <c r="AM107" i="6"/>
  <c r="AO105" i="6"/>
  <c r="AN105" i="6"/>
  <c r="AM105" i="6"/>
  <c r="AO103" i="6"/>
  <c r="AN103" i="6"/>
  <c r="AM103" i="6"/>
  <c r="AO101" i="6"/>
  <c r="AN101" i="6"/>
  <c r="AM101" i="6"/>
  <c r="AO99" i="6"/>
  <c r="AN99" i="6"/>
  <c r="AM99" i="6"/>
  <c r="AO97" i="6"/>
  <c r="AN97" i="6"/>
  <c r="AM97" i="6"/>
  <c r="AO93" i="6"/>
  <c r="AN93" i="6"/>
  <c r="AM93" i="6"/>
  <c r="AO91" i="6"/>
  <c r="AN91" i="6"/>
  <c r="AM91" i="6"/>
  <c r="AO89" i="6"/>
  <c r="AN89" i="6"/>
  <c r="AM89" i="6"/>
  <c r="AA17" i="5" l="1"/>
  <c r="N17" i="5"/>
  <c r="N20" i="5"/>
  <c r="AM19" i="5"/>
  <c r="N21" i="5"/>
  <c r="AI14" i="5"/>
  <c r="AM18" i="5"/>
  <c r="N18" i="5"/>
  <c r="AD15" i="5"/>
  <c r="N19" i="5"/>
  <c r="AM87" i="6"/>
  <c r="L134" i="6" s="1"/>
  <c r="AM134" i="6" s="1"/>
  <c r="AM20" i="5" l="1"/>
  <c r="AE17" i="5" l="1"/>
  <c r="W20" i="5"/>
  <c r="B97" i="5"/>
  <c r="B154" i="6"/>
  <c r="L130" i="6" l="1"/>
  <c r="L129" i="6"/>
  <c r="L92" i="5" l="1"/>
  <c r="L91" i="5"/>
  <c r="L90" i="5"/>
  <c r="W21" i="5"/>
  <c r="L93" i="5" s="1"/>
  <c r="AM6" i="6" l="1"/>
  <c r="AM128" i="6" l="1"/>
  <c r="AL88" i="5"/>
  <c r="AU30" i="6" l="1"/>
  <c r="G15" i="2"/>
  <c r="AM80" i="6"/>
  <c r="AA20" i="5" l="1"/>
  <c r="W19" i="5"/>
  <c r="D71" i="5"/>
  <c r="Y10" i="6"/>
  <c r="AS31" i="6"/>
  <c r="AM130" i="6"/>
  <c r="AM129" i="6"/>
  <c r="AL91" i="5"/>
  <c r="AL92" i="5"/>
  <c r="AL90" i="5"/>
  <c r="AL89" i="5"/>
  <c r="AL44" i="5"/>
  <c r="AL47" i="5"/>
  <c r="B110" i="6" l="1"/>
  <c r="B58" i="6"/>
  <c r="B53" i="5"/>
  <c r="O54" i="6" l="1"/>
  <c r="O53" i="6"/>
  <c r="J54" i="6"/>
  <c r="J53" i="6"/>
  <c r="O50" i="6"/>
  <c r="O49" i="6"/>
  <c r="O48" i="6"/>
  <c r="F50" i="6"/>
  <c r="F49" i="6"/>
  <c r="F48" i="6"/>
  <c r="O45" i="6"/>
  <c r="O42" i="6"/>
  <c r="F45" i="6"/>
  <c r="F44" i="6"/>
  <c r="F43" i="6"/>
  <c r="F42" i="6"/>
  <c r="O44" i="6"/>
  <c r="Q40" i="6"/>
  <c r="N40" i="6"/>
  <c r="K38" i="6"/>
  <c r="O36" i="6"/>
  <c r="O35" i="6"/>
  <c r="F35" i="6"/>
  <c r="K33" i="6"/>
  <c r="N15" i="6"/>
  <c r="Q17" i="6"/>
  <c r="N17" i="6"/>
  <c r="N14" i="6"/>
  <c r="AM50" i="6"/>
  <c r="AM49" i="6"/>
  <c r="AM44" i="6"/>
  <c r="AM43" i="6"/>
  <c r="AM40" i="6"/>
  <c r="AM42" i="6"/>
  <c r="AM38" i="6"/>
  <c r="AM35" i="6"/>
  <c r="AM28" i="6"/>
  <c r="AM17" i="6"/>
  <c r="AM50" i="5"/>
  <c r="AL50" i="5"/>
  <c r="AM45" i="5"/>
  <c r="AL45" i="5"/>
  <c r="AL41" i="5"/>
  <c r="AL37" i="5"/>
  <c r="AM27" i="6" l="1"/>
  <c r="AN19" i="6"/>
  <c r="AM19" i="6"/>
  <c r="AM33" i="6"/>
  <c r="F28" i="6"/>
  <c r="K27" i="6"/>
  <c r="N23" i="6"/>
  <c r="N25" i="6"/>
  <c r="N22" i="6"/>
  <c r="I23" i="6"/>
  <c r="I25" i="6"/>
  <c r="I22" i="6"/>
  <c r="N19" i="6"/>
  <c r="I19" i="6"/>
  <c r="F19" i="6"/>
  <c r="AM41" i="5" l="1"/>
  <c r="AM37" i="5"/>
  <c r="AM29" i="5"/>
  <c r="AL29" i="5"/>
  <c r="AL25" i="5"/>
  <c r="AL23" i="5"/>
  <c r="BJ1" i="6" l="1"/>
  <c r="AG111" i="6" l="1"/>
  <c r="AG59" i="6" l="1"/>
  <c r="AM79" i="6" l="1"/>
  <c r="AN64" i="6"/>
  <c r="I64" i="6"/>
  <c r="AN63" i="6"/>
  <c r="I63" i="6"/>
  <c r="AF8" i="6"/>
  <c r="E8" i="6"/>
  <c r="E7" i="6"/>
  <c r="AP63" i="6" l="1"/>
  <c r="L131" i="6" s="1"/>
  <c r="AG112" i="6"/>
  <c r="D59" i="6"/>
  <c r="D111" i="6"/>
  <c r="AG60" i="6"/>
  <c r="AO60" i="5" l="1"/>
  <c r="AM60" i="5"/>
  <c r="AM59" i="5" l="1"/>
  <c r="AE55" i="5"/>
  <c r="AE54" i="5"/>
  <c r="D54" i="5"/>
  <c r="J56" i="6"/>
  <c r="L133" i="6" s="1"/>
  <c r="BH1" i="5"/>
  <c r="AN56" i="6" l="1"/>
  <c r="L94" i="5"/>
  <c r="AL94" i="5" s="1"/>
  <c r="AM133" i="6" l="1"/>
  <c r="AL86" i="5" l="1"/>
  <c r="AM131" i="6"/>
  <c r="AM127" i="6" l="1"/>
  <c r="A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C4BA1CD6-04A9-4F80-ACAD-BB2D3254D335}">
      <text>
        <r>
          <rPr>
            <b/>
            <sz val="9"/>
            <color indexed="81"/>
            <rFont val="Tahoma"/>
            <family val="2"/>
          </rPr>
          <t xml:space="preserve">Note: </t>
        </r>
        <r>
          <rPr>
            <sz val="9"/>
            <color indexed="81"/>
            <rFont val="Tahoma"/>
            <family val="2"/>
          </rPr>
          <t xml:space="preserve"> Enter the parcel number with no spaces as shown below: 1234567891234.560
</t>
        </r>
      </text>
    </comment>
    <comment ref="Z15" authorId="1" shapeId="0" xr:uid="{0B639A35-4281-455D-977F-2AFF1A6BCC93}">
      <text>
        <r>
          <rPr>
            <b/>
            <sz val="9"/>
            <color indexed="81"/>
            <rFont val="Tahoma"/>
            <family val="2"/>
          </rPr>
          <t>Note:</t>
        </r>
        <r>
          <rPr>
            <sz val="9"/>
            <color indexed="81"/>
            <rFont val="Tahoma"/>
            <family val="2"/>
          </rPr>
          <t xml:space="preserve">
If there is no EIA, enter 0</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<sst xmlns="http://schemas.openxmlformats.org/spreadsheetml/2006/main" count="788" uniqueCount="415">
  <si>
    <t>Development Information</t>
  </si>
  <si>
    <t>Name:</t>
  </si>
  <si>
    <t>Proposed Impervious Area (PIA)</t>
  </si>
  <si>
    <t>(WQ)</t>
  </si>
  <si>
    <t>(2-yr)</t>
  </si>
  <si>
    <t>(5-yr)</t>
  </si>
  <si>
    <t>(10-yr)</t>
  </si>
  <si>
    <t>(25-yr)</t>
  </si>
  <si>
    <t>(100-yr)</t>
  </si>
  <si>
    <t>Outfall Location</t>
  </si>
  <si>
    <t>Professional Engineer Certification</t>
  </si>
  <si>
    <t>Address:</t>
  </si>
  <si>
    <t>Date:</t>
  </si>
  <si>
    <t>Comments:</t>
  </si>
  <si>
    <t>Material</t>
  </si>
  <si>
    <t>Concrete</t>
  </si>
  <si>
    <t>Metal</t>
  </si>
  <si>
    <t>HDPP</t>
  </si>
  <si>
    <t>PVC</t>
  </si>
  <si>
    <t>HDPE</t>
  </si>
  <si>
    <t>Other</t>
  </si>
  <si>
    <t>Select</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</si>
  <si>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</si>
  <si>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</si>
  <si>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</si>
  <si>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</si>
  <si>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</si>
  <si>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t>Inv. EL</t>
  </si>
  <si>
    <t>in</t>
  </si>
  <si>
    <t>ft</t>
  </si>
  <si>
    <t>Latitude:</t>
  </si>
  <si>
    <t>Longitude:</t>
  </si>
  <si>
    <t>Additional Impervious Area (AIA) = PIA - EIA</t>
  </si>
  <si>
    <t>AIA =</t>
  </si>
  <si>
    <t>Design</t>
  </si>
  <si>
    <t>As-Built</t>
  </si>
  <si>
    <t>WQv Required:</t>
  </si>
  <si>
    <t>WQv Provided:</t>
  </si>
  <si>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</si>
  <si>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</si>
  <si>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</si>
  <si>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</si>
  <si>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</si>
  <si>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</si>
  <si>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Use the drop down list to select a shape.</t>
  </si>
  <si>
    <t>Design Response</t>
  </si>
  <si>
    <t>Automated Review Checks</t>
  </si>
  <si>
    <t>Form Section</t>
  </si>
  <si>
    <t>The developer / owner shall retain the services of a professional land surveyor to:</t>
  </si>
  <si>
    <t>Develop an as-built drawing.</t>
  </si>
  <si>
    <t>a.</t>
  </si>
  <si>
    <t>b.</t>
  </si>
  <si>
    <t>The developer shall retain the services of a professional engineer to:</t>
  </si>
  <si>
    <t>H&amp;H Calculations</t>
  </si>
  <si>
    <t>Photographs</t>
  </si>
  <si>
    <t>Storm sewers showing pipes, inlets, junction boxes, outlets, outlet protection, and invert elevations</t>
  </si>
  <si>
    <t>Detail of emergency spillway showing elevations and dimensions</t>
  </si>
  <si>
    <t>Prior to approval of the Final Plat.</t>
  </si>
  <si>
    <t>Provide ALL required attachments:</t>
  </si>
  <si>
    <t>As-Built Survey Drawing(s)</t>
  </si>
  <si>
    <t>The issuance of a Certificate of Occupancy; and/or,</t>
  </si>
  <si>
    <t>e.</t>
  </si>
  <si>
    <t>c.</t>
  </si>
  <si>
    <t>d.</t>
  </si>
  <si>
    <t>f.</t>
  </si>
  <si>
    <t>•</t>
  </si>
  <si>
    <t>Latitude and/or Longitude not provided</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</si>
  <si>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</si>
  <si>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</si>
  <si>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</si>
  <si>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</si>
  <si>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</si>
  <si>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</si>
  <si>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</si>
  <si>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Yes</t>
  </si>
  <si>
    <t xml:space="preserve"> No</t>
  </si>
  <si>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</si>
  <si>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</si>
  <si>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</si>
  <si>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</si>
  <si>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</si>
  <si>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</si>
  <si>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</si>
  <si>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</si>
  <si>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</si>
  <si>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</si>
  <si>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</si>
  <si>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</si>
  <si>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</si>
  <si>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</si>
  <si>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</si>
  <si>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</si>
  <si>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</si>
  <si>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</si>
  <si>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</si>
  <si>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</si>
  <si>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Montgomery</t>
  </si>
  <si>
    <t>Hoover</t>
  </si>
  <si>
    <t>Prattville</t>
  </si>
  <si>
    <t>Mobile</t>
  </si>
  <si>
    <t xml:space="preserve">Select City: </t>
  </si>
  <si>
    <t xml:space="preserve">Trash Rack: </t>
  </si>
  <si>
    <t>Yes</t>
  </si>
  <si>
    <t xml:space="preserve">Diameter: </t>
  </si>
  <si>
    <t xml:space="preserve">Material: </t>
  </si>
  <si>
    <t xml:space="preserve">Shape: </t>
  </si>
  <si>
    <t>Round</t>
  </si>
  <si>
    <t>Rectangle</t>
  </si>
  <si>
    <t>Square</t>
  </si>
  <si>
    <t xml:space="preserve">Date: </t>
  </si>
  <si>
    <t xml:space="preserve">Company: </t>
  </si>
  <si>
    <t xml:space="preserve">Signature: </t>
  </si>
  <si>
    <t xml:space="preserve">Select: </t>
  </si>
  <si>
    <t xml:space="preserve">Orifice: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</si>
  <si>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</si>
  <si>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</si>
  <si>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</si>
  <si>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</si>
  <si>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</si>
  <si>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</si>
  <si>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</si>
  <si>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</si>
  <si>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</si>
  <si>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</si>
  <si>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 xml:space="preserve"> Soils Data</t>
  </si>
  <si>
    <t xml:space="preserve"> Maintenance Plan</t>
  </si>
  <si>
    <t xml:space="preserve">Hydrologic Soil Group: </t>
  </si>
  <si>
    <t xml:space="preserve"> A</t>
  </si>
  <si>
    <t xml:space="preserve"> B</t>
  </si>
  <si>
    <t xml:space="preserve"> C</t>
  </si>
  <si>
    <t xml:space="preserve"> D</t>
  </si>
  <si>
    <t xml:space="preserve">Water Table Depth: </t>
  </si>
  <si>
    <t xml:space="preserve">Saturated Hydraulic Conductivity: </t>
  </si>
  <si>
    <t>in/hr</t>
  </si>
  <si>
    <t xml:space="preserve">Type: </t>
  </si>
  <si>
    <t xml:space="preserve">Pretreatment: </t>
  </si>
  <si>
    <t>Depth</t>
  </si>
  <si>
    <t>Bottom EL</t>
  </si>
  <si>
    <t>Top EL</t>
  </si>
  <si>
    <t>ea</t>
  </si>
  <si>
    <t>Diameter</t>
  </si>
  <si>
    <t xml:space="preserve"> Underdrain Pipe(s)</t>
  </si>
  <si>
    <t xml:space="preserve">Outlet Pipe Inv. EL: </t>
  </si>
  <si>
    <t xml:space="preserve">Perforated Pipe Inv. EL: </t>
  </si>
  <si>
    <t xml:space="preserve"> System Cross Section</t>
  </si>
  <si>
    <t xml:space="preserve"> No Underdrain System</t>
  </si>
  <si>
    <t xml:space="preserve">Inv. EL: </t>
  </si>
  <si>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</si>
  <si>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</si>
  <si>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</si>
  <si>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Form 3D - Bioretention Area
As-Built Certification Form</t>
  </si>
  <si>
    <t>Form 2D - Bioretention Area
Design Form</t>
  </si>
  <si>
    <t xml:space="preserve"> Vegetation Plan</t>
  </si>
  <si>
    <t>Bioretention Area</t>
  </si>
  <si>
    <t xml:space="preserve">Drainage Area: </t>
  </si>
  <si>
    <t xml:space="preserve">Land Slope: </t>
  </si>
  <si>
    <t>%</t>
  </si>
  <si>
    <t>Cleanout Pipe(s)</t>
  </si>
  <si>
    <t xml:space="preserve">Mulch: </t>
  </si>
  <si>
    <t xml:space="preserve">Bioretention Media: </t>
  </si>
  <si>
    <t xml:space="preserve">Stone: </t>
  </si>
  <si>
    <t>Overflow Structure</t>
  </si>
  <si>
    <t>Outlet Pipe</t>
  </si>
  <si>
    <t>Internal Water Storage</t>
  </si>
  <si>
    <t xml:space="preserve">Depth: </t>
  </si>
  <si>
    <t xml:space="preserve">Drain Time: </t>
  </si>
  <si>
    <t>hrs</t>
  </si>
  <si>
    <t>Ponded Water</t>
  </si>
  <si>
    <t xml:space="preserve">No. Pipes: </t>
  </si>
  <si>
    <t xml:space="preserve"> No Cleanout Pipe(s)</t>
  </si>
  <si>
    <t xml:space="preserve">Surface Area: </t>
  </si>
  <si>
    <r>
      <t>ft</t>
    </r>
    <r>
      <rPr>
        <vertAlign val="superscript"/>
        <sz val="10"/>
        <color theme="1"/>
        <rFont val="Calibri"/>
        <family val="2"/>
        <scheme val="minor"/>
      </rPr>
      <t>2</t>
    </r>
  </si>
  <si>
    <t>The maximum recommended drainage area is 5.0 acres, but 0.5 to 2.0 acres is preferred;</t>
  </si>
  <si>
    <t>Seasonally high-water table shall be greater than 6-feet below the surface;</t>
  </si>
  <si>
    <t>Bio retention areas shall be located in areas where the slope is 5% or less;</t>
  </si>
  <si>
    <t>Preferred in-situ soils shall be hydrologic soil group A or B;</t>
  </si>
  <si>
    <t>g.</t>
  </si>
  <si>
    <t>If internal water storage is provided, internal water storage shall drain within 4 days;</t>
  </si>
  <si>
    <t>h.</t>
  </si>
  <si>
    <t>i.</t>
  </si>
  <si>
    <t>The maintenance plan shall address the following:</t>
  </si>
  <si>
    <t>Mulching</t>
  </si>
  <si>
    <t>Re-planting</t>
  </si>
  <si>
    <t>Weeding</t>
  </si>
  <si>
    <t>Routine inspections</t>
  </si>
  <si>
    <t>Storm event inspections</t>
  </si>
  <si>
    <t>Fertilization</t>
  </si>
  <si>
    <t>Unclogging underdrain pipes</t>
  </si>
  <si>
    <t>Pruning</t>
  </si>
  <si>
    <t>Sediment removal</t>
  </si>
  <si>
    <t>Trash removal</t>
  </si>
  <si>
    <t>Mulch removal from outlets</t>
  </si>
  <si>
    <t>j.</t>
  </si>
  <si>
    <t>k.</t>
  </si>
  <si>
    <t xml:space="preserve"> Field Test Performed: </t>
  </si>
  <si>
    <t xml:space="preserve">Bottom EL: </t>
  </si>
  <si>
    <t xml:space="preserve">Top EL: </t>
  </si>
  <si>
    <t>Drain Time</t>
  </si>
  <si>
    <t xml:space="preserve">Int. Water Storage: </t>
  </si>
  <si>
    <t xml:space="preserve">Ponded Water: </t>
  </si>
  <si>
    <t xml:space="preserve"> No Outflow Structure</t>
  </si>
  <si>
    <t xml:space="preserve"> No Overflow Structure</t>
  </si>
  <si>
    <t>Perform a field survey of the constructed bioretention area; and,</t>
  </si>
  <si>
    <t>Revision Date:</t>
  </si>
  <si>
    <t>Bioretention Area:</t>
  </si>
  <si>
    <t>Land slope exceeds the recommended 5% maximum</t>
  </si>
  <si>
    <t>Drain time exceeds the recommended 12 hours</t>
  </si>
  <si>
    <t>Drainage Area:</t>
  </si>
  <si>
    <t>Land Slope:</t>
  </si>
  <si>
    <t>Internal Water Storage:</t>
  </si>
  <si>
    <t>Ponded Water:</t>
  </si>
  <si>
    <t>Drainage area exceeds the recommended 5.0 acre maximum</t>
  </si>
  <si>
    <t>Jefferson</t>
  </si>
  <si>
    <t>Effective Date:</t>
  </si>
  <si>
    <t>1 February 2020</t>
  </si>
  <si>
    <t>1 October 2020</t>
  </si>
  <si>
    <t>1 October 2015</t>
  </si>
  <si>
    <t>1 July 2018</t>
  </si>
  <si>
    <t>Type:</t>
  </si>
  <si>
    <t>City</t>
  </si>
  <si>
    <t>County</t>
  </si>
  <si>
    <t>Maintenance Agreement:</t>
  </si>
  <si>
    <t xml:space="preserve"> Covenant</t>
  </si>
  <si>
    <t>Entity Type:</t>
  </si>
  <si>
    <t>By affixing my professional seal and signature on this form, I hereby certify that the bioretention area:</t>
  </si>
  <si>
    <t>Printing the form may require some adjustments to the print settings for the printer being used.</t>
  </si>
  <si>
    <t>Home Owners Association (HOA) Information</t>
  </si>
  <si>
    <t>Biroretention areas shall be designed in accordance with the Alabama Low Impact Development Handbook for the</t>
  </si>
  <si>
    <t>A minimum of 200 square fee footprint is recommended or approximately 5% to 8% of the contributing</t>
  </si>
  <si>
    <t>impervious area;</t>
  </si>
  <si>
    <t>Ponded water shall drain within 12 hours, and stormwater shall infiltrate the bioretention cell to 2-feet</t>
  </si>
  <si>
    <t>below the surface within 48 hours;</t>
  </si>
  <si>
    <t>Components of the bioretention area may include a pretreatment device, bioretention area, overflow</t>
  </si>
  <si>
    <t>structure, underdrain, cleanout pipes, and internal water storage; and,</t>
  </si>
  <si>
    <t xml:space="preserve">The vegetation plan shall address plant types, plant sizes, plant establishement, lime and fertilizer, </t>
  </si>
  <si>
    <t>and plant spacing.</t>
  </si>
  <si>
    <t>Site features to include but not limited to roads, rights-of-way, property lines, driveways, buildings, parking</t>
  </si>
  <si>
    <t>areas, fences, retaining walls, dumpster pads, etc.</t>
  </si>
  <si>
    <t>Location of the bioretention area, contours, spot elevations, outlet structure, outlet pipe, emergency</t>
  </si>
  <si>
    <t>spillway, and outlet protection</t>
  </si>
  <si>
    <t>Current Logo</t>
  </si>
  <si>
    <t>This is a required field.  Once a number or text is entered, the green highlight will be removed.</t>
  </si>
  <si>
    <t xml:space="preserve">City: </t>
  </si>
  <si>
    <t>Comments?</t>
  </si>
  <si>
    <t>Permit Type:</t>
  </si>
  <si>
    <t>Engineering or Building No.</t>
  </si>
  <si>
    <t>Max Velocity:</t>
  </si>
  <si>
    <t>Drain time exceeds the recommended 96 hours</t>
  </si>
  <si>
    <t>Lookup Table</t>
  </si>
  <si>
    <t>Complete Design Form with the required design information.  Once the Design Form is completed, most of the Design section of the As-built Form will be prepopulated.</t>
  </si>
  <si>
    <t>Use the drop down list to select an orifice or weir.</t>
  </si>
  <si>
    <t xml:space="preserve">Weir: </t>
  </si>
  <si>
    <t xml:space="preserve">Insp Report Due: </t>
  </si>
  <si>
    <t>30 Septbember</t>
  </si>
  <si>
    <t>1 September</t>
  </si>
  <si>
    <t>Insp Report Due:</t>
  </si>
  <si>
    <t xml:space="preserve">Seal: </t>
  </si>
  <si>
    <t>A bioretention area shall not be located within a floodplain or floodway;</t>
  </si>
  <si>
    <t>Installation of a bioretention area shall not adversely impact and/or cause flooding of properties</t>
  </si>
  <si>
    <t>ENG No.</t>
  </si>
  <si>
    <t>(50-yr)</t>
  </si>
  <si>
    <t>Storms:</t>
  </si>
  <si>
    <t>2, 5, 10, 25, 50, and 100</t>
  </si>
  <si>
    <t xml:space="preserve"> ac</t>
  </si>
  <si>
    <t xml:space="preserve"> sq-ft</t>
  </si>
  <si>
    <t xml:space="preserve">Design Form Date: </t>
  </si>
  <si>
    <t>31 December</t>
  </si>
  <si>
    <r>
      <t>Photographs</t>
    </r>
    <r>
      <rPr>
        <sz val="10"/>
        <color theme="1"/>
        <rFont val="Calibri"/>
        <family val="2"/>
        <scheme val="minor"/>
      </rPr>
      <t xml:space="preserve"> </t>
    </r>
  </si>
  <si>
    <t>Caption, date, and/or description on all photographs</t>
  </si>
  <si>
    <t>No. Taken</t>
  </si>
  <si>
    <t>Date</t>
  </si>
  <si>
    <t>Outlet control structure</t>
  </si>
  <si>
    <t>Outfall to receiving stream / storm sewer</t>
  </si>
  <si>
    <t>*Stone layer</t>
  </si>
  <si>
    <t>*Bioretention medial layer</t>
  </si>
  <si>
    <t>*Mulch layer</t>
  </si>
  <si>
    <t>General overview of vegetation</t>
  </si>
  <si>
    <t>*Underdrain pipe(s)</t>
  </si>
  <si>
    <t>*Overflow structure</t>
  </si>
  <si>
    <t>All required photographs are not provided</t>
  </si>
  <si>
    <t>Photographs:</t>
  </si>
  <si>
    <t xml:space="preserve">Contact Name: </t>
  </si>
  <si>
    <t>No. Storms:</t>
  </si>
  <si>
    <t>Known Flooding Req:</t>
  </si>
  <si>
    <t>Known Flooding Storm:</t>
  </si>
  <si>
    <t>Adj Property Req:</t>
  </si>
  <si>
    <t>Adj Property Storm:</t>
  </si>
  <si>
    <t xml:space="preserve">Select Area Units: </t>
  </si>
  <si>
    <t xml:space="preserve">Total Area: </t>
  </si>
  <si>
    <t xml:space="preserve">EIA = </t>
  </si>
  <si>
    <t>ac</t>
  </si>
  <si>
    <t xml:space="preserve">Existing Impervious Area (EIA): </t>
  </si>
  <si>
    <t xml:space="preserve">PIA = </t>
  </si>
  <si>
    <t>Units Check</t>
  </si>
  <si>
    <t xml:space="preserve">AIA = </t>
  </si>
  <si>
    <t>ac or sq-ft selection</t>
  </si>
  <si>
    <t>Lat Text</t>
  </si>
  <si>
    <t>Long Text</t>
  </si>
  <si>
    <t>Latitude and/or Longitude has been entered as text.  Change to a number.</t>
  </si>
  <si>
    <t xml:space="preserve">Parcel No.: </t>
  </si>
  <si>
    <t>Parcel No.:</t>
  </si>
  <si>
    <t>Parcel No. has not been provided</t>
  </si>
  <si>
    <t>Will not adversely impact and/or cause flooding of structures within, upstream, and/or downstream of the</t>
  </si>
  <si>
    <t>The as-built drawing shall bear the date, seal, and signature of the professional land surveyor.</t>
  </si>
  <si>
    <t>As-built drawing, at a minimum, shall include the following:</t>
  </si>
  <si>
    <t>Use the as-built drawing to complete Form 3D – Bioretention Area As-built Certification Form;</t>
  </si>
  <si>
    <t>Agreement Type:</t>
  </si>
  <si>
    <t>Known Flooding Storm &lt;:</t>
  </si>
  <si>
    <t>Adj Property Storm&lt;:</t>
  </si>
  <si>
    <t>Known or Adj Storm</t>
  </si>
  <si>
    <t>Requirements</t>
  </si>
  <si>
    <t>Question</t>
  </si>
  <si>
    <t>5, 10, 25, 50, and 100</t>
  </si>
  <si>
    <t>10, 25, 50, and 100</t>
  </si>
  <si>
    <t>25, 50, and 100</t>
  </si>
  <si>
    <t>50 and 100</t>
  </si>
  <si>
    <t>Known or Adj Design Storm:</t>
  </si>
  <si>
    <t>Known or Adj Design Storm&lt;:</t>
  </si>
  <si>
    <t xml:space="preserve">Effective Date: </t>
  </si>
  <si>
    <t xml:space="preserve">Acceptance (required): </t>
  </si>
  <si>
    <t>I ACCEPT</t>
  </si>
  <si>
    <t xml:space="preserve">Expiration Date: </t>
  </si>
  <si>
    <t xml:space="preserve">Current Status: </t>
  </si>
  <si>
    <t xml:space="preserve">IMPORTANT - READ BEFORE USE: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</si>
  <si>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</si>
  <si>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</si>
  <si>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</si>
  <si>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</si>
  <si>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</si>
  <si>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</si>
  <si>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</si>
  <si>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</si>
  <si>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</si>
  <si>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</si>
  <si>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</si>
  <si>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DO NOT ACCEPT</t>
  </si>
  <si>
    <t>Baldwin County</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</si>
  <si>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</si>
  <si>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</si>
  <si>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</si>
  <si>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</si>
  <si>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</si>
  <si>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</si>
  <si>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</si>
  <si>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</si>
  <si>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</si>
  <si>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</si>
  <si>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</si>
  <si>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</si>
  <si>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</si>
  <si>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</si>
  <si>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</si>
  <si>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</si>
  <si>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</si>
  <si>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</si>
  <si>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</si>
  <si>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As-Built does not match Design, provide a reason in the Comments section</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</si>
  <si>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</si>
  <si>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</si>
  <si>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</si>
  <si>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</si>
  <si>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</si>
  <si>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 xml:space="preserve"> O&amp;M Plan</t>
  </si>
  <si>
    <t>Drainage Rights</t>
  </si>
  <si>
    <t>Bioretention Area (BA)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</si>
  <si>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</si>
  <si>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authorized, do not use the Tool.</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</si>
  <si>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</si>
  <si>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</si>
  <si>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</si>
  <si>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</si>
  <si>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</si>
  <si>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</si>
  <si>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</si>
  <si>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</si>
  <si>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</si>
  <si>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</si>
  <si>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</si>
  <si>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</si>
  <si>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</si>
  <si>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</si>
  <si>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</si>
  <si>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</si>
  <si>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</si>
  <si>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</si>
  <si>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</si>
  <si>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</si>
  <si>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</si>
  <si>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</si>
  <si>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END USER LICENSE AGREEMENT (EULA)</t>
  </si>
  <si>
    <t>Lee County</t>
  </si>
  <si>
    <t>Release Agreement</t>
  </si>
  <si>
    <t>Spillage Agreement</t>
  </si>
  <si>
    <t xml:space="preserve">Rise: </t>
  </si>
  <si>
    <t xml:space="preserve">Span: </t>
  </si>
  <si>
    <t>Rise:</t>
  </si>
  <si>
    <t xml:space="preserve"> Photographs</t>
  </si>
  <si>
    <t>Provides the required water quality volume (WQv); and,</t>
  </si>
  <si>
    <t>development.</t>
  </si>
  <si>
    <t xml:space="preserve">Sand: </t>
  </si>
  <si>
    <r>
      <t>Water Quality Volume (WQ</t>
    </r>
    <r>
      <rPr>
        <b/>
        <u/>
        <vertAlign val="subscript"/>
        <sz val="12"/>
        <color theme="1"/>
        <rFont val="Calibri"/>
        <family val="2"/>
        <scheme val="minor"/>
      </rPr>
      <t>v</t>
    </r>
    <r>
      <rPr>
        <b/>
        <u/>
        <sz val="12"/>
        <color theme="1"/>
        <rFont val="Calibri"/>
        <family val="2"/>
        <scheme val="minor"/>
      </rPr>
      <t>)</t>
    </r>
  </si>
  <si>
    <t>Location</t>
  </si>
  <si>
    <t>Page 2 of 2</t>
  </si>
  <si>
    <t>Page 1 of 2</t>
  </si>
  <si>
    <r>
      <t>WQ</t>
    </r>
    <r>
      <rPr>
        <vertAlign val="subscript"/>
        <sz val="10"/>
        <color theme="1"/>
        <rFont val="Calibri"/>
        <family val="2"/>
      </rPr>
      <t xml:space="preserve">v </t>
    </r>
    <r>
      <rPr>
        <sz val="10"/>
        <color theme="1"/>
        <rFont val="Calibri"/>
        <family val="2"/>
      </rPr>
      <t>Provided</t>
    </r>
    <r>
      <rPr>
        <sz val="10"/>
        <color theme="1"/>
        <rFont val="Calibri"/>
        <family val="2"/>
        <scheme val="minor"/>
      </rPr>
      <t xml:space="preserve"> = </t>
    </r>
  </si>
  <si>
    <t>located within, upstream, and/or downstream of the development</t>
  </si>
  <si>
    <t>State of Alabama.  Applicable design requirements include but are not limited to the following</t>
  </si>
  <si>
    <r>
      <t>Water Quality Volume (WQ</t>
    </r>
    <r>
      <rPr>
        <u/>
        <vertAlign val="subscript"/>
        <sz val="10"/>
        <color theme="1"/>
        <rFont val="Calibri"/>
        <family val="2"/>
        <scheme val="minor"/>
      </rPr>
      <t>v</t>
    </r>
    <r>
      <rPr>
        <u/>
        <sz val="10"/>
        <color theme="1"/>
        <rFont val="Calibri"/>
        <family val="2"/>
        <scheme val="minor"/>
      </rPr>
      <t>)</t>
    </r>
  </si>
  <si>
    <t xml:space="preserve">By affixing my professional seal and signature on this form, I hereby certify that the bioretention area has been constructed in accordance with the approved design. </t>
  </si>
  <si>
    <t>Page 3 of 3</t>
  </si>
  <si>
    <t>Page 2 of 3</t>
  </si>
  <si>
    <t>Page 1 of 3</t>
  </si>
  <si>
    <t>*Sand layer</t>
  </si>
  <si>
    <t>Location:</t>
  </si>
  <si>
    <t>*Photographs shall be taken during construction of the bioretention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</si>
</sst>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409]d\-mmm\-yy;@"/>
    <numFmt numFmtId="165" formatCode="0.000000"/>
    <numFmt numFmtId="166" formatCode="0."/>
    <numFmt numFmtId="167" formatCode="[$-409]d\ mmmm\ yyyy;@"/>
    <numFmt numFmtId="168" formatCode="[$-409]dd\ mmmm\ yyyy;@"/>
    <numFmt numFmtId="169" formatCode="[&lt;=9999999]###\-####;\(###\)\ ###\-####"/>
    <numFmt numFmtId="170" formatCode="[$-409]mmmm\ d\,\ yyyy;@"/>
    <numFmt numFmtId="171" formatCode="#,##0.0000"/>
    <numFmt numFmtId="172" formatCode="00\ 00\ 00\ 0\ 000\ 000.000"/>
    <numFmt numFmtId="173" formatCode="[$-409]dd\ mmmm\ yyyy\ h:mm\ AM/PM;@"/>
    <numFmt numFmtId="174" formatCode="0\)"/>
    <numFmt numFmtId="175" formatCode="0.0000"/>
    <numFmt numFmtId="176" formatCode="0.000000_);\(0.000000\)"/>
  </numFmts>
  <fonts count="29"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8"/>
      <color theme="1"/>
      <name val="Calibri"/>
      <family val="2"/>
    </font>
    <font>
      <u/>
      <sz val="10"/>
      <color theme="1"/>
      <name val="Calibri"/>
      <family val="2"/>
      <scheme val="minor"/>
    </font>
    <font>
      <b/>
      <sz val="12"/>
      <color theme="1"/>
      <name val="Calibri"/>
      <family val="2"/>
      <scheme val="minor"/>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bscript"/>
      <sz val="10"/>
      <color theme="1"/>
      <name val="Calibri"/>
      <family val="2"/>
      <scheme val="minor"/>
    </font>
    <font>
      <u/>
      <sz val="10"/>
      <color theme="10"/>
      <name val="Calibri"/>
      <family val="2"/>
      <scheme val="minor"/>
    </font>
    <font>
      <vertAlign val="superscript"/>
      <sz val="10"/>
      <color theme="1"/>
      <name val="Calibri"/>
      <family val="2"/>
      <scheme val="minor"/>
    </font>
    <font>
      <sz val="8"/>
      <name val="Calibri"/>
      <family val="2"/>
      <scheme val="minor"/>
    </font>
    <font>
      <sz val="10"/>
      <color theme="1"/>
      <name val="Calibri"/>
      <family val="2"/>
    </font>
    <font>
      <sz val="9"/>
      <color indexed="81"/>
      <name val="Tahoma"/>
      <family val="2"/>
    </font>
    <font>
      <b/>
      <sz val="9"/>
      <color indexed="81"/>
      <name val="Tahoma"/>
      <family val="2"/>
    </font>
    <font>
      <b/>
      <sz val="11"/>
      <color theme="1"/>
      <name val="Calibri"/>
      <family val="2"/>
      <scheme val="minor"/>
    </font>
    <font>
      <b/>
      <sz val="11"/>
      <color theme="0"/>
      <name val="Calibri"/>
      <family val="2"/>
      <scheme val="minor"/>
    </font>
    <font>
      <b/>
      <sz val="12"/>
      <color theme="1"/>
      <name val="Calibri"/>
      <family val="2"/>
    </font>
    <font>
      <b/>
      <u/>
      <vertAlign val="subscript"/>
      <sz val="12"/>
      <color theme="1"/>
      <name val="Calibri"/>
      <family val="2"/>
      <scheme val="minor"/>
    </font>
    <font>
      <u/>
      <vertAlign val="subscript"/>
      <sz val="10"/>
      <color theme="1"/>
      <name val="Calibri"/>
      <family val="2"/>
      <scheme val="minor"/>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medium">
        <color auto="1"/>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s>
  <cellStyleXfs count="2">
    <xf numFmtId="0" fontId="0" fillId="0" borderId="0"/>
    <xf numFmtId="0" fontId="9" fillId="0" borderId="0" applyNumberFormat="0" applyFill="0" applyBorder="0" applyAlignment="0" applyProtection="0"/>
  </cellStyleXfs>
  <cellXfs count="191">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8" fillId="0" borderId="0" xfId="0" applyFont="1" applyAlignment="1">
      <alignment vertical="center"/>
    </xf>
    <xf numFmtId="0" fontId="3" fillId="4" borderId="0" xfId="0" applyFont="1" applyFill="1" applyAlignment="1">
      <alignment vertical="center"/>
    </xf>
    <xf numFmtId="0" fontId="3" fillId="4" borderId="0" xfId="0" applyFont="1" applyFill="1" applyAlignment="1">
      <alignment horizontal="right" vertical="center"/>
    </xf>
    <xf numFmtId="0" fontId="3" fillId="0" borderId="0" xfId="0" applyFont="1" applyAlignment="1">
      <alignment horizontal="left" vertical="center"/>
    </xf>
    <xf numFmtId="0" fontId="3" fillId="6" borderId="0" xfId="0" applyFont="1" applyFill="1" applyAlignment="1">
      <alignment vertical="center"/>
    </xf>
    <xf numFmtId="166" fontId="13" fillId="0" borderId="0" xfId="0" applyNumberFormat="1" applyFont="1" applyAlignment="1">
      <alignment horizontal="center" vertical="center"/>
    </xf>
    <xf numFmtId="0" fontId="13" fillId="0" borderId="0" xfId="0" applyFont="1" applyAlignment="1">
      <alignment vertical="center"/>
    </xf>
    <xf numFmtId="0" fontId="13" fillId="0" borderId="1" xfId="0" applyFont="1" applyBorder="1" applyAlignment="1">
      <alignment horizontal="center" vertical="center"/>
    </xf>
    <xf numFmtId="4" fontId="13" fillId="0" borderId="1" xfId="0" applyNumberFormat="1" applyFont="1" applyBorder="1" applyAlignment="1">
      <alignment vertical="center"/>
    </xf>
    <xf numFmtId="0" fontId="14" fillId="2" borderId="1" xfId="0" applyFont="1" applyFill="1" applyBorder="1" applyAlignment="1">
      <alignment vertical="center"/>
    </xf>
    <xf numFmtId="0" fontId="13" fillId="5" borderId="1" xfId="0" applyFont="1" applyFill="1" applyBorder="1" applyAlignment="1">
      <alignment vertical="center"/>
    </xf>
    <xf numFmtId="0" fontId="8" fillId="0" borderId="0" xfId="0" applyFont="1" applyAlignment="1">
      <alignment horizontal="left" vertical="center"/>
    </xf>
    <xf numFmtId="0" fontId="3" fillId="0" borderId="11" xfId="0" applyFont="1" applyBorder="1" applyAlignment="1">
      <alignment horizontal="center" vertical="center"/>
    </xf>
    <xf numFmtId="0" fontId="3" fillId="6"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0" fontId="0" fillId="0" borderId="0" xfId="0" applyAlignment="1">
      <alignment vertical="center"/>
    </xf>
    <xf numFmtId="0" fontId="3" fillId="0" borderId="0" xfId="0" applyFont="1" applyAlignment="1">
      <alignment vertical="center"/>
    </xf>
    <xf numFmtId="2" fontId="3" fillId="0" borderId="0" xfId="0" applyNumberFormat="1" applyFont="1" applyAlignment="1">
      <alignment horizontal="right" vertical="center"/>
    </xf>
    <xf numFmtId="2" fontId="3" fillId="0" borderId="0" xfId="0" applyNumberFormat="1" applyFont="1" applyAlignment="1">
      <alignment vertical="center"/>
    </xf>
    <xf numFmtId="0" fontId="3" fillId="0" borderId="0" xfId="0" applyFont="1" applyAlignment="1">
      <alignment horizontal="right"/>
    </xf>
    <xf numFmtId="0" fontId="10" fillId="0" borderId="0" xfId="0" applyFont="1" applyAlignment="1">
      <alignment vertical="center"/>
    </xf>
    <xf numFmtId="165" fontId="3" fillId="0" borderId="0" xfId="0" applyNumberFormat="1" applyFont="1" applyAlignment="1">
      <alignment vertical="center"/>
    </xf>
    <xf numFmtId="4" fontId="3" fillId="0" borderId="0" xfId="0" applyNumberFormat="1" applyFont="1" applyAlignment="1">
      <alignment vertical="center"/>
    </xf>
    <xf numFmtId="0" fontId="3" fillId="0" borderId="0" xfId="0" applyFont="1" applyAlignment="1">
      <alignment horizontal="right" vertical="center" indent="1"/>
    </xf>
    <xf numFmtId="0" fontId="9" fillId="0" borderId="0" xfId="1" applyBorder="1" applyAlignment="1" applyProtection="1">
      <alignment horizontal="left" vertical="center"/>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10" fillId="4" borderId="0" xfId="0" applyFont="1" applyFill="1" applyAlignment="1">
      <alignment horizontal="right" vertical="center"/>
    </xf>
    <xf numFmtId="0" fontId="10" fillId="4" borderId="0" xfId="0" applyFont="1" applyFill="1" applyAlignment="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166" fontId="12" fillId="0" borderId="0" xfId="0" applyNumberFormat="1" applyFont="1" applyAlignment="1">
      <alignment vertical="center"/>
    </xf>
    <xf numFmtId="0" fontId="13" fillId="0" borderId="0" xfId="0" applyFont="1" applyAlignment="1">
      <alignment horizontal="left" vertical="center" wrapText="1"/>
    </xf>
    <xf numFmtId="0" fontId="13"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15" fillId="0" borderId="0" xfId="0" applyFont="1" applyAlignment="1">
      <alignment horizontal="center" vertical="center"/>
    </xf>
    <xf numFmtId="0" fontId="0" fillId="0" borderId="0" xfId="0" applyAlignment="1">
      <alignment vertical="top" wrapText="1"/>
    </xf>
    <xf numFmtId="0" fontId="0" fillId="0" borderId="0" xfId="0" applyAlignment="1">
      <alignment vertical="top"/>
    </xf>
    <xf numFmtId="0" fontId="3" fillId="0" borderId="3" xfId="0" applyFont="1" applyBorder="1" applyAlignment="1">
      <alignment vertical="center"/>
    </xf>
    <xf numFmtId="0" fontId="2" fillId="6" borderId="0" xfId="0" applyFont="1" applyFill="1" applyAlignment="1">
      <alignment vertical="center" wrapText="1"/>
    </xf>
    <xf numFmtId="0" fontId="2" fillId="0" borderId="0" xfId="0" applyFont="1" applyAlignment="1">
      <alignment vertical="center"/>
    </xf>
    <xf numFmtId="0" fontId="3" fillId="6" borderId="0" xfId="0" applyFont="1" applyFill="1" applyAlignment="1">
      <alignment horizontal="right" vertical="center"/>
    </xf>
    <xf numFmtId="0" fontId="3" fillId="0" borderId="0" xfId="0" applyFont="1" applyAlignment="1">
      <alignment horizontal="left" vertical="top" wrapText="1"/>
    </xf>
    <xf numFmtId="0" fontId="7" fillId="0" borderId="0" xfId="0" applyFont="1" applyAlignment="1">
      <alignment vertical="center"/>
    </xf>
    <xf numFmtId="166" fontId="0" fillId="0" borderId="0" xfId="0" applyNumberFormat="1" applyAlignment="1">
      <alignment horizontal="center" vertical="top"/>
    </xf>
    <xf numFmtId="0" fontId="0" fillId="0" borderId="0" xfId="0" applyAlignment="1">
      <alignment horizontal="left" vertical="top" wrapText="1"/>
    </xf>
    <xf numFmtId="0" fontId="3" fillId="0" borderId="3" xfId="0" applyFont="1" applyBorder="1" applyAlignment="1">
      <alignment horizontal="center" vertical="center"/>
    </xf>
    <xf numFmtId="0" fontId="0" fillId="0" borderId="0" xfId="0" applyAlignment="1">
      <alignment horizontal="center" vertical="top" wrapText="1"/>
    </xf>
    <xf numFmtId="0" fontId="3" fillId="0" borderId="13" xfId="0" applyFont="1" applyBorder="1" applyAlignment="1">
      <alignment vertical="center"/>
    </xf>
    <xf numFmtId="2" fontId="3" fillId="0" borderId="3" xfId="0" applyNumberFormat="1" applyFont="1" applyBorder="1" applyAlignment="1">
      <alignment horizontal="right" vertical="center"/>
    </xf>
    <xf numFmtId="0" fontId="0" fillId="0" borderId="0" xfId="0" applyAlignment="1">
      <alignment horizontal="right" vertical="center"/>
    </xf>
    <xf numFmtId="0" fontId="3" fillId="0" borderId="1" xfId="0" applyFont="1" applyBorder="1" applyAlignment="1">
      <alignment vertical="center"/>
    </xf>
    <xf numFmtId="0" fontId="3" fillId="4" borderId="0" xfId="0" applyFont="1" applyFill="1" applyAlignment="1">
      <alignment horizontal="lef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top"/>
    </xf>
    <xf numFmtId="0" fontId="3" fillId="0" borderId="0" xfId="0" applyFont="1"/>
    <xf numFmtId="166" fontId="3" fillId="0" borderId="0" xfId="0" applyNumberFormat="1" applyFont="1" applyAlignment="1">
      <alignment horizontal="center" vertical="top"/>
    </xf>
    <xf numFmtId="166" fontId="3" fillId="0" borderId="0" xfId="0" applyNumberFormat="1" applyFont="1" applyAlignment="1">
      <alignment horizontal="left" vertical="top"/>
    </xf>
    <xf numFmtId="0" fontId="3" fillId="0" borderId="0" xfId="0" applyFont="1" applyAlignment="1">
      <alignment horizontal="center" vertical="top" wrapText="1"/>
    </xf>
    <xf numFmtId="0" fontId="21" fillId="0" borderId="0" xfId="0" applyFont="1" applyAlignment="1">
      <alignment horizontal="center" vertical="center"/>
    </xf>
    <xf numFmtId="0" fontId="3" fillId="6" borderId="11" xfId="0" applyFont="1" applyFill="1" applyBorder="1" applyAlignment="1">
      <alignment horizontal="center" vertical="center"/>
    </xf>
    <xf numFmtId="0" fontId="8" fillId="6" borderId="0" xfId="0" applyFont="1" applyFill="1" applyAlignment="1">
      <alignment horizontal="center" vertical="center"/>
    </xf>
    <xf numFmtId="0" fontId="5" fillId="4" borderId="0" xfId="0" applyFont="1" applyFill="1" applyAlignment="1">
      <alignment horizontal="right" vertical="center"/>
    </xf>
    <xf numFmtId="0" fontId="8" fillId="6" borderId="0" xfId="0" applyFont="1" applyFill="1" applyAlignment="1">
      <alignment horizontal="right" vertical="center"/>
    </xf>
    <xf numFmtId="0" fontId="24" fillId="0" borderId="0" xfId="0" applyFont="1"/>
    <xf numFmtId="0" fontId="3" fillId="0" borderId="3" xfId="0" applyFont="1" applyBorder="1" applyAlignment="1">
      <alignment horizontal="right"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1" fontId="0" fillId="0" borderId="0" xfId="0" applyNumberFormat="1" applyAlignment="1">
      <alignment horizontal="center"/>
    </xf>
    <xf numFmtId="0" fontId="5" fillId="3" borderId="3" xfId="0" applyFont="1" applyFill="1" applyBorder="1" applyAlignment="1">
      <alignment horizontal="right" vertical="center"/>
    </xf>
    <xf numFmtId="171" fontId="3" fillId="6" borderId="11" xfId="0" applyNumberFormat="1" applyFont="1" applyFill="1" applyBorder="1" applyAlignment="1">
      <alignment vertical="center"/>
    </xf>
    <xf numFmtId="168" fontId="0" fillId="0" borderId="0" xfId="0" quotePrefix="1" applyNumberFormat="1" applyAlignment="1">
      <alignment horizontal="center"/>
    </xf>
    <xf numFmtId="167" fontId="0" fillId="0" borderId="0" xfId="0" applyNumberFormat="1" applyAlignment="1">
      <alignment horizontal="center"/>
    </xf>
    <xf numFmtId="167" fontId="0" fillId="0" borderId="0" xfId="0" quotePrefix="1" applyNumberFormat="1" applyAlignment="1">
      <alignment horizontal="center"/>
    </xf>
    <xf numFmtId="2" fontId="0" fillId="0" borderId="0" xfId="0" applyNumberFormat="1" applyAlignment="1">
      <alignment horizontal="center"/>
    </xf>
    <xf numFmtId="2" fontId="0" fillId="0" borderId="0" xfId="0" applyNumberFormat="1" applyAlignment="1">
      <alignment horizontal="center" vertical="center"/>
    </xf>
    <xf numFmtId="168" fontId="0" fillId="0" borderId="0" xfId="0" applyNumberFormat="1" applyAlignment="1">
      <alignment horizontal="center"/>
    </xf>
    <xf numFmtId="167" fontId="0" fillId="7" borderId="12" xfId="0" applyNumberFormat="1" applyFill="1" applyBorder="1" applyAlignment="1">
      <alignment horizontal="center"/>
    </xf>
    <xf numFmtId="0" fontId="0" fillId="7" borderId="12" xfId="0" applyFill="1" applyBorder="1" applyAlignment="1">
      <alignment horizontal="center"/>
    </xf>
    <xf numFmtId="0" fontId="0" fillId="0" borderId="0" xfId="0" applyAlignment="1">
      <alignment horizontal="center" vertical="center"/>
    </xf>
    <xf numFmtId="1" fontId="0" fillId="0" borderId="0" xfId="0" applyNumberFormat="1" applyAlignment="1">
      <alignment horizontal="center" vertical="center"/>
    </xf>
    <xf numFmtId="0" fontId="8" fillId="0" borderId="0" xfId="0" applyFont="1" applyAlignment="1">
      <alignment horizontal="right" vertical="center"/>
    </xf>
    <xf numFmtId="0" fontId="13" fillId="6" borderId="0" xfId="0" applyFont="1" applyFill="1" applyAlignment="1">
      <alignment vertical="center"/>
    </xf>
    <xf numFmtId="0" fontId="8" fillId="0" borderId="11" xfId="0" applyFont="1" applyBorder="1" applyAlignment="1" applyProtection="1">
      <alignment horizontal="center" vertical="center"/>
      <protection locked="0"/>
    </xf>
    <xf numFmtId="0" fontId="13" fillId="6" borderId="11" xfId="0" applyFont="1" applyFill="1" applyBorder="1" applyAlignment="1">
      <alignment horizontal="center" vertical="center"/>
    </xf>
    <xf numFmtId="0" fontId="13" fillId="6" borderId="0" xfId="0" applyFont="1" applyFill="1" applyAlignment="1">
      <alignment horizontal="center" vertical="center"/>
    </xf>
    <xf numFmtId="166" fontId="13" fillId="6" borderId="0" xfId="0" applyNumberFormat="1" applyFont="1" applyFill="1" applyAlignment="1">
      <alignment horizontal="center" vertical="center"/>
    </xf>
    <xf numFmtId="0" fontId="0" fillId="0" borderId="17" xfId="0" applyBorder="1" applyAlignment="1">
      <alignment horizontal="right" vertical="center"/>
    </xf>
    <xf numFmtId="173" fontId="0" fillId="0" borderId="18" xfId="0" applyNumberFormat="1" applyBorder="1" applyAlignment="1">
      <alignment horizontal="center"/>
    </xf>
    <xf numFmtId="0" fontId="0" fillId="0" borderId="19" xfId="0" applyBorder="1" applyAlignment="1">
      <alignment horizontal="right" vertical="center"/>
    </xf>
    <xf numFmtId="0" fontId="0" fillId="9" borderId="20" xfId="0" applyFill="1" applyBorder="1" applyAlignment="1">
      <alignment horizontal="center"/>
    </xf>
    <xf numFmtId="173" fontId="0" fillId="9" borderId="12" xfId="0" applyNumberFormat="1" applyFill="1" applyBorder="1" applyAlignment="1">
      <alignment horizontal="center"/>
    </xf>
    <xf numFmtId="173" fontId="0" fillId="0" borderId="21" xfId="0" applyNumberFormat="1" applyBorder="1" applyAlignment="1">
      <alignment horizontal="center"/>
    </xf>
    <xf numFmtId="0" fontId="0" fillId="0" borderId="21" xfId="0" applyBorder="1" applyAlignment="1">
      <alignment horizontal="center"/>
    </xf>
    <xf numFmtId="0" fontId="0" fillId="0" borderId="22" xfId="0" applyBorder="1" applyAlignment="1">
      <alignment horizontal="right" vertical="center"/>
    </xf>
    <xf numFmtId="0" fontId="0" fillId="0" borderId="23" xfId="0" applyBorder="1" applyAlignment="1">
      <alignment horizontal="center"/>
    </xf>
    <xf numFmtId="0" fontId="0" fillId="0" borderId="0" xfId="0" applyAlignment="1">
      <alignment horizontal="right" vertical="center" indent="1"/>
    </xf>
    <xf numFmtId="0" fontId="25" fillId="8" borderId="14" xfId="0" applyFont="1" applyFill="1" applyBorder="1" applyAlignment="1">
      <alignment horizontal="center" vertical="center"/>
    </xf>
    <xf numFmtId="168" fontId="0" fillId="0" borderId="0" xfId="0" quotePrefix="1" applyNumberFormat="1" applyAlignment="1">
      <alignment horizontal="center" vertical="center"/>
    </xf>
    <xf numFmtId="167" fontId="0" fillId="0" borderId="0" xfId="0" quotePrefix="1" applyNumberFormat="1" applyAlignment="1">
      <alignment horizontal="center" vertical="center"/>
    </xf>
    <xf numFmtId="168" fontId="13" fillId="0" borderId="0" xfId="0" applyNumberFormat="1" applyFont="1" applyAlignment="1">
      <alignment horizontal="left" vertical="center"/>
    </xf>
    <xf numFmtId="174" fontId="8" fillId="0" borderId="0" xfId="0" applyNumberFormat="1" applyFont="1" applyAlignment="1">
      <alignment horizontal="right" vertical="center"/>
    </xf>
    <xf numFmtId="174" fontId="8" fillId="0" borderId="0" xfId="0" applyNumberFormat="1" applyFont="1" applyAlignment="1">
      <alignment vertical="center"/>
    </xf>
    <xf numFmtId="0" fontId="0" fillId="0" borderId="11" xfId="0" applyBorder="1" applyAlignment="1" applyProtection="1">
      <alignment horizontal="center" vertical="center"/>
      <protection locked="0"/>
    </xf>
    <xf numFmtId="0" fontId="0" fillId="0" borderId="11" xfId="0" applyBorder="1" applyAlignment="1">
      <alignment horizontal="center" vertical="center"/>
    </xf>
    <xf numFmtId="167" fontId="0" fillId="0" borderId="0" xfId="0" applyNumberFormat="1" applyAlignment="1">
      <alignment horizontal="center" vertical="center"/>
    </xf>
    <xf numFmtId="0" fontId="0" fillId="0" borderId="0" xfId="0" applyAlignment="1">
      <alignment horizontal="left" vertical="center"/>
    </xf>
    <xf numFmtId="175" fontId="3" fillId="6" borderId="11" xfId="0" applyNumberFormat="1" applyFont="1" applyFill="1" applyBorder="1" applyAlignment="1">
      <alignment vertical="center"/>
    </xf>
    <xf numFmtId="168" fontId="13" fillId="0" borderId="0" xfId="0" applyNumberFormat="1" applyFont="1" applyAlignment="1">
      <alignment horizontal="right" vertical="center"/>
    </xf>
    <xf numFmtId="0" fontId="24" fillId="0" borderId="0" xfId="0" applyFont="1" applyAlignment="1">
      <alignment vertical="center" wrapText="1"/>
    </xf>
    <xf numFmtId="0" fontId="25" fillId="8" borderId="15" xfId="0" applyFont="1" applyFill="1" applyBorder="1" applyAlignment="1">
      <alignment horizontal="center" vertical="center"/>
    </xf>
    <xf numFmtId="0" fontId="25" fillId="8" borderId="16" xfId="0" applyFont="1" applyFill="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top" wrapText="1"/>
    </xf>
    <xf numFmtId="167" fontId="16" fillId="0" borderId="0" xfId="0" applyNumberFormat="1" applyFont="1" applyAlignment="1">
      <alignment horizontal="left" vertical="center"/>
    </xf>
    <xf numFmtId="0" fontId="3" fillId="0" borderId="0" xfId="0" applyFont="1" applyAlignment="1">
      <alignment horizontal="center" vertical="center"/>
    </xf>
    <xf numFmtId="0" fontId="12" fillId="0" borderId="0" xfId="0" applyFont="1" applyAlignment="1">
      <alignment horizontal="left" vertical="center"/>
    </xf>
    <xf numFmtId="2" fontId="3" fillId="0" borderId="1" xfId="0" applyNumberFormat="1" applyFont="1" applyBorder="1" applyAlignment="1" applyProtection="1">
      <alignment horizontal="right" vertical="center"/>
      <protection locked="0"/>
    </xf>
    <xf numFmtId="2" fontId="3" fillId="0" borderId="2" xfId="0" applyNumberFormat="1" applyFont="1" applyBorder="1" applyAlignment="1" applyProtection="1">
      <alignment horizontal="right" vertical="center"/>
      <protection locked="0"/>
    </xf>
    <xf numFmtId="1" fontId="3"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vertical="center"/>
      <protection locked="0"/>
    </xf>
    <xf numFmtId="164" fontId="3" fillId="0" borderId="1" xfId="0" applyNumberFormat="1" applyFont="1" applyBorder="1" applyAlignment="1" applyProtection="1">
      <alignment horizontal="center" vertical="center"/>
      <protection hidden="1"/>
    </xf>
    <xf numFmtId="0" fontId="3" fillId="0" borderId="2" xfId="0" applyFont="1" applyBorder="1" applyAlignment="1" applyProtection="1">
      <alignment horizontal="center" vertical="center"/>
      <protection hidden="1"/>
    </xf>
    <xf numFmtId="0" fontId="3" fillId="0" borderId="1" xfId="0" applyFont="1" applyBorder="1" applyAlignment="1" applyProtection="1">
      <alignment horizontal="left" vertical="center"/>
      <protection hidden="1"/>
    </xf>
    <xf numFmtId="0" fontId="2" fillId="0" borderId="0" xfId="0" applyFont="1" applyAlignment="1">
      <alignment horizontal="center" vertical="center" wrapText="1"/>
    </xf>
    <xf numFmtId="3" fontId="3" fillId="0" borderId="1" xfId="0"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4" fontId="3" fillId="0" borderId="2" xfId="0" applyNumberFormat="1" applyFont="1" applyBorder="1" applyAlignment="1" applyProtection="1">
      <alignment horizontal="right" vertical="center"/>
      <protection locked="0"/>
    </xf>
    <xf numFmtId="169" fontId="3" fillId="0" borderId="2" xfId="0" applyNumberFormat="1" applyFont="1" applyBorder="1" applyAlignment="1" applyProtection="1">
      <alignment horizontal="left" vertical="center"/>
      <protection locked="0"/>
    </xf>
    <xf numFmtId="165" fontId="3" fillId="0" borderId="1" xfId="0" applyNumberFormat="1" applyFont="1" applyBorder="1" applyAlignment="1" applyProtection="1">
      <alignment horizontal="right" vertical="center"/>
      <protection locked="0"/>
    </xf>
    <xf numFmtId="176" fontId="3" fillId="0" borderId="1" xfId="0" applyNumberFormat="1" applyFont="1" applyBorder="1" applyAlignment="1" applyProtection="1">
      <alignment horizontal="right" vertical="center"/>
      <protection locked="0"/>
    </xf>
    <xf numFmtId="0" fontId="3" fillId="0" borderId="2" xfId="0" applyFont="1" applyBorder="1" applyAlignment="1" applyProtection="1">
      <alignment horizontal="left" vertical="center"/>
      <protection locked="0"/>
    </xf>
    <xf numFmtId="0" fontId="18" fillId="0" borderId="1" xfId="1" applyFont="1" applyBorder="1" applyAlignment="1" applyProtection="1">
      <alignment horizontal="lef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lignment horizontal="left" vertical="center"/>
    </xf>
    <xf numFmtId="4" fontId="3" fillId="0" borderId="1" xfId="0" applyNumberFormat="1" applyFont="1" applyBorder="1" applyAlignment="1" applyProtection="1">
      <alignment horizontal="right" vertical="center"/>
      <protection locked="0"/>
    </xf>
    <xf numFmtId="171" fontId="3" fillId="0" borderId="1" xfId="0" applyNumberFormat="1" applyFont="1" applyBorder="1" applyAlignment="1" applyProtection="1">
      <alignment horizontal="right" vertical="center"/>
      <protection hidden="1"/>
    </xf>
    <xf numFmtId="4" fontId="3" fillId="0" borderId="1" xfId="0" quotePrefix="1"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hidden="1"/>
    </xf>
    <xf numFmtId="172" fontId="3" fillId="0" borderId="1" xfId="0" applyNumberFormat="1" applyFont="1" applyBorder="1" applyAlignment="1" applyProtection="1">
      <alignment horizontal="center" vertical="center"/>
      <protection locked="0"/>
    </xf>
    <xf numFmtId="3" fontId="3" fillId="0" borderId="2" xfId="0" applyNumberFormat="1" applyFont="1" applyBorder="1" applyAlignment="1" applyProtection="1">
      <alignment horizontal="right" vertical="center"/>
      <protection hidden="1"/>
    </xf>
    <xf numFmtId="4" fontId="3" fillId="0" borderId="4" xfId="0" applyNumberFormat="1" applyFont="1" applyBorder="1" applyAlignment="1" applyProtection="1">
      <alignment horizontal="right" vertical="center"/>
      <protection locked="0"/>
    </xf>
    <xf numFmtId="169" fontId="3" fillId="0" borderId="1" xfId="0" applyNumberFormat="1" applyFont="1" applyBorder="1" applyAlignment="1" applyProtection="1">
      <alignment horizontal="center" vertical="center"/>
      <protection locked="0"/>
    </xf>
    <xf numFmtId="0" fontId="9" fillId="0" borderId="2" xfId="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170" fontId="3" fillId="0" borderId="1" xfId="0" applyNumberFormat="1" applyFont="1" applyBorder="1" applyAlignment="1" applyProtection="1">
      <alignment horizontal="center" vertical="center"/>
      <protection locked="0"/>
    </xf>
    <xf numFmtId="176" fontId="3" fillId="0" borderId="2" xfId="0" applyNumberFormat="1" applyFont="1" applyBorder="1" applyAlignment="1" applyProtection="1">
      <alignment horizontal="right" vertical="center"/>
      <protection locked="0"/>
    </xf>
    <xf numFmtId="1" fontId="3" fillId="0" borderId="2" xfId="0" applyNumberFormat="1" applyFont="1" applyBorder="1" applyAlignment="1" applyProtection="1">
      <alignment horizontal="center" vertical="center"/>
      <protection hidden="1"/>
    </xf>
    <xf numFmtId="164" fontId="3" fillId="3" borderId="2" xfId="0" applyNumberFormat="1" applyFont="1" applyFill="1" applyBorder="1" applyAlignment="1">
      <alignment horizontal="center" vertical="center"/>
    </xf>
    <xf numFmtId="0" fontId="8" fillId="4" borderId="0" xfId="0" applyFont="1" applyFill="1" applyAlignment="1">
      <alignment horizontal="left" vertical="center"/>
    </xf>
    <xf numFmtId="0" fontId="8" fillId="3" borderId="0" xfId="0" applyFont="1" applyFill="1" applyAlignment="1">
      <alignment horizontal="left" vertical="center"/>
    </xf>
    <xf numFmtId="0" fontId="3" fillId="0" borderId="1" xfId="0" applyFont="1" applyBorder="1" applyAlignment="1">
      <alignment horizontal="left" vertical="center"/>
    </xf>
    <xf numFmtId="2" fontId="3" fillId="0" borderId="2" xfId="0" applyNumberFormat="1" applyFont="1" applyBorder="1" applyAlignment="1">
      <alignment horizontal="right" vertical="center"/>
    </xf>
    <xf numFmtId="0" fontId="3" fillId="0" borderId="2" xfId="0" applyFont="1" applyBorder="1" applyAlignment="1" applyProtection="1">
      <alignment horizontal="left" vertical="center"/>
      <protection hidden="1"/>
    </xf>
    <xf numFmtId="0" fontId="3" fillId="0" borderId="2" xfId="0" applyFont="1" applyBorder="1" applyAlignment="1">
      <alignment horizontal="right" vertical="center"/>
    </xf>
    <xf numFmtId="164" fontId="3" fillId="0" borderId="2" xfId="0" applyNumberFormat="1" applyFont="1" applyBorder="1" applyAlignment="1" applyProtection="1">
      <alignment horizontal="center" vertical="center"/>
      <protection locked="0"/>
    </xf>
    <xf numFmtId="2" fontId="3" fillId="0" borderId="1" xfId="0" applyNumberFormat="1" applyFont="1" applyBorder="1" applyAlignment="1">
      <alignment horizontal="right" vertical="center"/>
    </xf>
    <xf numFmtId="0" fontId="3" fillId="0" borderId="1" xfId="0" applyFont="1" applyBorder="1" applyAlignment="1">
      <alignment horizontal="right" vertical="center"/>
    </xf>
    <xf numFmtId="3" fontId="3" fillId="0" borderId="1" xfId="0" applyNumberFormat="1" applyFont="1" applyBorder="1" applyAlignment="1" applyProtection="1">
      <alignment horizontal="right" vertical="center"/>
      <protection hidden="1"/>
    </xf>
    <xf numFmtId="165" fontId="3" fillId="0" borderId="1" xfId="0" applyNumberFormat="1" applyFont="1" applyBorder="1" applyAlignment="1" applyProtection="1">
      <alignment horizontal="right" vertical="center"/>
      <protection hidden="1"/>
    </xf>
    <xf numFmtId="176" fontId="3" fillId="0" borderId="2" xfId="0" applyNumberFormat="1" applyFont="1" applyBorder="1" applyAlignment="1" applyProtection="1">
      <alignment horizontal="right" vertical="center"/>
      <protection hidden="1"/>
    </xf>
    <xf numFmtId="1" fontId="3" fillId="0" borderId="1" xfId="0" applyNumberFormat="1" applyFont="1" applyBorder="1" applyAlignment="1">
      <alignment horizontal="right" vertical="center"/>
    </xf>
    <xf numFmtId="0" fontId="3" fillId="0" borderId="0" xfId="0" applyFont="1" applyAlignment="1">
      <alignment horizontal="left" vertical="top" wrapText="1"/>
    </xf>
    <xf numFmtId="172" fontId="3" fillId="0" borderId="1" xfId="0" applyNumberFormat="1" applyFont="1" applyBorder="1" applyAlignment="1">
      <alignment horizontal="center" vertical="center"/>
    </xf>
  </cellXfs>
  <cellStyles count="2">
    <cellStyle name="Hyperlink" xfId="1" builtinId="8"/>
    <cellStyle name="Normal" xfId="0" builtinId="0"/>
  </cellStyles>
  <dxfs count="149">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numFmt numFmtId="171" formatCode="#,##0.000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numFmt numFmtId="3" formatCode="#,##0"/>
    </dxf>
    <dxf>
      <numFmt numFmtId="171" formatCode="#,##0.000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numFmt numFmtId="3" formatCode="#,##0"/>
    </dxf>
    <dxf>
      <fill>
        <patternFill>
          <bgColor theme="7" tint="0.59996337778862885"/>
        </patternFill>
      </fill>
    </dxf>
    <dxf>
      <numFmt numFmtId="171" formatCode="#,##0.000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7</xdr:col>
      <xdr:colOff>140654</xdr:colOff>
      <xdr:row>45</xdr:row>
      <xdr:rowOff>56862</xdr:rowOff>
    </xdr:from>
    <xdr:to>
      <xdr:col>7</xdr:col>
      <xdr:colOff>990919</xdr:colOff>
      <xdr:row>45</xdr:row>
      <xdr:rowOff>784768</xdr:rowOff>
    </xdr:to>
    <xdr:pic>
      <xdr:nvPicPr>
        <xdr:cNvPr id="8" name="Picture 7">
          <a:extLst>
            <a:ext uri="{FF2B5EF4-FFF2-40B4-BE49-F238E27FC236}">
              <a16:creationId xmlns:a16="http://schemas.microsoft.com/office/drawing/2014/main" id="{9E5A6083-065B-4883-98A4-FF8269904F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026854" y="9543762"/>
          <a:ext cx="850265" cy="727906"/>
        </a:xfrm>
        <a:prstGeom prst="rect">
          <a:avLst/>
        </a:prstGeom>
        <a:noFill/>
        <a:ln>
          <a:noFill/>
        </a:ln>
      </xdr:spPr>
    </xdr:pic>
    <xdr:clientData/>
  </xdr:twoCellAnchor>
  <xdr:twoCellAnchor editAs="oneCell">
    <xdr:from>
      <xdr:col>5</xdr:col>
      <xdr:colOff>14255</xdr:colOff>
      <xdr:row>44</xdr:row>
      <xdr:rowOff>15240</xdr:rowOff>
    </xdr:from>
    <xdr:to>
      <xdr:col>5</xdr:col>
      <xdr:colOff>1031240</xdr:colOff>
      <xdr:row>45</xdr:row>
      <xdr:rowOff>3122</xdr:rowOff>
    </xdr:to>
    <xdr:pic>
      <xdr:nvPicPr>
        <xdr:cNvPr id="9" name="Picture 8">
          <a:extLst>
            <a:ext uri="{FF2B5EF4-FFF2-40B4-BE49-F238E27FC236}">
              <a16:creationId xmlns:a16="http://schemas.microsoft.com/office/drawing/2014/main" id="{BDB2911C-42BD-42F0-BEA7-7CF4BFC71A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245" b="7766"/>
        <a:stretch>
          <a:fillRect/>
        </a:stretch>
      </xdr:blipFill>
      <xdr:spPr bwMode="auto">
        <a:xfrm>
          <a:off x="5749575" y="11303000"/>
          <a:ext cx="1016985" cy="803222"/>
        </a:xfrm>
        <a:prstGeom prst="rect">
          <a:avLst/>
        </a:prstGeom>
        <a:noFill/>
        <a:ln>
          <a:noFill/>
        </a:ln>
      </xdr:spPr>
    </xdr:pic>
    <xdr:clientData/>
  </xdr:twoCellAnchor>
  <xdr:twoCellAnchor editAs="oneCell">
    <xdr:from>
      <xdr:col>5</xdr:col>
      <xdr:colOff>12842</xdr:colOff>
      <xdr:row>40</xdr:row>
      <xdr:rowOff>13819</xdr:rowOff>
    </xdr:from>
    <xdr:to>
      <xdr:col>5</xdr:col>
      <xdr:colOff>818515</xdr:colOff>
      <xdr:row>41</xdr:row>
      <xdr:rowOff>781</xdr:rowOff>
    </xdr:to>
    <xdr:pic>
      <xdr:nvPicPr>
        <xdr:cNvPr id="10" name="Picture 9">
          <a:extLst>
            <a:ext uri="{FF2B5EF4-FFF2-40B4-BE49-F238E27FC236}">
              <a16:creationId xmlns:a16="http://schemas.microsoft.com/office/drawing/2014/main" id="{EC2F9CB9-4AFF-477A-965D-E8EC155A044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48162" y="8009739"/>
          <a:ext cx="815198" cy="809922"/>
        </a:xfrm>
        <a:prstGeom prst="rect">
          <a:avLst/>
        </a:prstGeom>
        <a:ln>
          <a:noFill/>
        </a:ln>
      </xdr:spPr>
    </xdr:pic>
    <xdr:clientData/>
  </xdr:twoCellAnchor>
  <xdr:twoCellAnchor editAs="oneCell">
    <xdr:from>
      <xdr:col>5</xdr:col>
      <xdr:colOff>19652</xdr:colOff>
      <xdr:row>43</xdr:row>
      <xdr:rowOff>13314</xdr:rowOff>
    </xdr:from>
    <xdr:to>
      <xdr:col>5</xdr:col>
      <xdr:colOff>934085</xdr:colOff>
      <xdr:row>44</xdr:row>
      <xdr:rowOff>538</xdr:rowOff>
    </xdr:to>
    <xdr:pic>
      <xdr:nvPicPr>
        <xdr:cNvPr id="11" name="Picture 10">
          <a:extLst>
            <a:ext uri="{FF2B5EF4-FFF2-40B4-BE49-F238E27FC236}">
              <a16:creationId xmlns:a16="http://schemas.microsoft.com/office/drawing/2014/main" id="{8DCF04AF-399C-494B-BFD2-1ABBA47859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754972" y="10478114"/>
          <a:ext cx="904908" cy="794944"/>
        </a:xfrm>
        <a:prstGeom prst="rect">
          <a:avLst/>
        </a:prstGeom>
        <a:noFill/>
        <a:ln>
          <a:noFill/>
        </a:ln>
      </xdr:spPr>
    </xdr:pic>
    <xdr:clientData/>
  </xdr:twoCellAnchor>
  <xdr:twoCellAnchor editAs="oneCell">
    <xdr:from>
      <xdr:col>5</xdr:col>
      <xdr:colOff>5204</xdr:colOff>
      <xdr:row>41</xdr:row>
      <xdr:rowOff>17204</xdr:rowOff>
    </xdr:from>
    <xdr:to>
      <xdr:col>5</xdr:col>
      <xdr:colOff>783590</xdr:colOff>
      <xdr:row>42</xdr:row>
      <xdr:rowOff>1794</xdr:rowOff>
    </xdr:to>
    <xdr:pic>
      <xdr:nvPicPr>
        <xdr:cNvPr id="12" name="Picture 11" descr="Logo&#10;&#10;Description automatically generated">
          <a:extLst>
            <a:ext uri="{FF2B5EF4-FFF2-40B4-BE49-F238E27FC236}">
              <a16:creationId xmlns:a16="http://schemas.microsoft.com/office/drawing/2014/main" id="{3288FCE9-D892-4E18-A570-403B94F534D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740524" y="8836084"/>
          <a:ext cx="782196" cy="79421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7</xdr:col>
          <xdr:colOff>1428750</xdr:colOff>
          <xdr:row>40</xdr:row>
          <xdr:rowOff>0</xdr:rowOff>
        </xdr:to>
        <xdr:pic>
          <xdr:nvPicPr>
            <xdr:cNvPr id="3" name="Picture 2">
              <a:extLst>
                <a:ext uri="{FF2B5EF4-FFF2-40B4-BE49-F238E27FC236}">
                  <a16:creationId xmlns:a16="http://schemas.microsoft.com/office/drawing/2014/main" id="{E8A77AB6-53EB-4B82-B86B-B2C010F0A777}"/>
                </a:ext>
              </a:extLst>
            </xdr:cNvPr>
            <xdr:cNvPicPr>
              <a:picLocks noChangeAspect="1"/>
              <a:extLst>
                <a:ext uri="{84589F7E-364E-4C9E-8A38-B11213B215E9}">
                  <a14:cameraTool cellRange="Logo" spid="_x0000_s1693"/>
                </a:ext>
              </a:extLst>
            </xdr:cNvPicPr>
          </xdr:nvPicPr>
          <xdr:blipFill>
            <a:blip xmlns:r="http://schemas.openxmlformats.org/officeDocument/2006/relationships" r:embed="rId6"/>
            <a:stretch>
              <a:fillRect/>
            </a:stretch>
          </xdr:blipFill>
          <xdr:spPr>
            <a:xfrm>
              <a:off x="7467600" y="7170420"/>
              <a:ext cx="1424940" cy="822960"/>
            </a:xfrm>
            <a:prstGeom prst="rect">
              <a:avLst/>
            </a:prstGeom>
            <a:ln>
              <a:noFill/>
            </a:ln>
          </xdr:spPr>
        </xdr:pic>
        <xdr:clientData/>
      </xdr:twoCellAnchor>
    </mc:Choice>
    <mc:Fallback/>
  </mc:AlternateContent>
  <xdr:twoCellAnchor editAs="oneCell">
    <xdr:from>
      <xdr:col>5</xdr:col>
      <xdr:colOff>12700</xdr:colOff>
      <xdr:row>45</xdr:row>
      <xdr:rowOff>160020</xdr:rowOff>
    </xdr:from>
    <xdr:to>
      <xdr:col>5</xdr:col>
      <xdr:colOff>1350686</xdr:colOff>
      <xdr:row>45</xdr:row>
      <xdr:rowOff>665413</xdr:rowOff>
    </xdr:to>
    <xdr:pic>
      <xdr:nvPicPr>
        <xdr:cNvPr id="7" name="Picture 6">
          <a:extLst>
            <a:ext uri="{FF2B5EF4-FFF2-40B4-BE49-F238E27FC236}">
              <a16:creationId xmlns:a16="http://schemas.microsoft.com/office/drawing/2014/main" id="{6D311F4B-04F9-4B6A-A50B-ACA22C59F34B}"/>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748020" y="12270740"/>
          <a:ext cx="1347511" cy="503488"/>
        </a:xfrm>
        <a:prstGeom prst="rect">
          <a:avLst/>
        </a:prstGeom>
      </xdr:spPr>
    </xdr:pic>
    <xdr:clientData/>
  </xdr:twoCellAnchor>
  <xdr:twoCellAnchor editAs="oneCell">
    <xdr:from>
      <xdr:col>5</xdr:col>
      <xdr:colOff>7620</xdr:colOff>
      <xdr:row>38</xdr:row>
      <xdr:rowOff>167640</xdr:rowOff>
    </xdr:from>
    <xdr:to>
      <xdr:col>5</xdr:col>
      <xdr:colOff>858551</xdr:colOff>
      <xdr:row>40</xdr:row>
      <xdr:rowOff>1905</xdr:rowOff>
    </xdr:to>
    <xdr:pic>
      <xdr:nvPicPr>
        <xdr:cNvPr id="2" name="Picture 1">
          <a:extLst>
            <a:ext uri="{FF2B5EF4-FFF2-40B4-BE49-F238E27FC236}">
              <a16:creationId xmlns:a16="http://schemas.microsoft.com/office/drawing/2014/main" id="{2470257D-4A3E-4666-98E2-B2215017DD31}"/>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742940" y="7157720"/>
          <a:ext cx="837596" cy="83629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186690</xdr:colOff>
      <xdr:row>51</xdr:row>
      <xdr:rowOff>76200</xdr:rowOff>
    </xdr:from>
    <xdr:ext cx="712568" cy="259080"/>
    <xdr:pic>
      <xdr:nvPicPr>
        <xdr:cNvPr id="5" name="Picture 4">
          <a:extLst>
            <a:ext uri="{FF2B5EF4-FFF2-40B4-BE49-F238E27FC236}">
              <a16:creationId xmlns:a16="http://schemas.microsoft.com/office/drawing/2014/main" id="{7849E525-F68B-4A32-BD7E-931CC7888E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8690" y="870585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59691</xdr:colOff>
          <xdr:row>3</xdr:row>
          <xdr:rowOff>174540</xdr:rowOff>
        </xdr:to>
        <xdr:pic>
          <xdr:nvPicPr>
            <xdr:cNvPr id="7" name="Picture 6">
              <a:extLst>
                <a:ext uri="{FF2B5EF4-FFF2-40B4-BE49-F238E27FC236}">
                  <a16:creationId xmlns:a16="http://schemas.microsoft.com/office/drawing/2014/main" id="{00AAE24E-932B-B08A-98B0-E220BF1080BA}"/>
                </a:ext>
              </a:extLst>
            </xdr:cNvPr>
            <xdr:cNvPicPr>
              <a:picLocks noChangeAspect="1" noChangeArrowheads="1"/>
              <a:extLst>
                <a:ext uri="{84589F7E-364E-4C9E-8A38-B11213B215E9}">
                  <a14:cameraTool cellRange="Logo" spid="_x0000_s10462"/>
                </a:ext>
              </a:extLst>
            </xdr:cNvPicPr>
          </xdr:nvPicPr>
          <xdr:blipFill>
            <a:blip xmlns:r="http://schemas.openxmlformats.org/officeDocument/2006/relationships" r:embed="rId2"/>
            <a:srcRect/>
            <a:stretch>
              <a:fillRect/>
            </a:stretch>
          </xdr:blipFill>
          <xdr:spPr bwMode="auto">
            <a:xfrm>
              <a:off x="1" y="0"/>
              <a:ext cx="1333500" cy="75747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0</xdr:row>
          <xdr:rowOff>0</xdr:rowOff>
        </xdr:from>
        <xdr:to>
          <xdr:col>48</xdr:col>
          <xdr:colOff>133985</xdr:colOff>
          <xdr:row>4</xdr:row>
          <xdr:rowOff>16014</xdr:rowOff>
        </xdr:to>
        <xdr:pic>
          <xdr:nvPicPr>
            <xdr:cNvPr id="8" name="Picture 7">
              <a:extLst>
                <a:ext uri="{FF2B5EF4-FFF2-40B4-BE49-F238E27FC236}">
                  <a16:creationId xmlns:a16="http://schemas.microsoft.com/office/drawing/2014/main" id="{DD3CF302-0D13-C83A-1EF9-FC0D6BB410FE}"/>
                </a:ext>
              </a:extLst>
            </xdr:cNvPr>
            <xdr:cNvPicPr>
              <a:picLocks noChangeAspect="1" noChangeArrowheads="1"/>
              <a:extLst>
                <a:ext uri="{84589F7E-364E-4C9E-8A38-B11213B215E9}">
                  <a14:cameraTool cellRange="Logo" spid="_x0000_s10463"/>
                </a:ext>
              </a:extLst>
            </xdr:cNvPicPr>
          </xdr:nvPicPr>
          <xdr:blipFill>
            <a:blip xmlns:r="http://schemas.openxmlformats.org/officeDocument/2006/relationships" r:embed="rId2"/>
            <a:srcRect/>
            <a:stretch>
              <a:fillRect/>
            </a:stretch>
          </xdr:blipFill>
          <xdr:spPr bwMode="auto">
            <a:xfrm>
              <a:off x="7112000" y="0"/>
              <a:ext cx="1333500" cy="766584"/>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161290</xdr:colOff>
      <xdr:row>95</xdr:row>
      <xdr:rowOff>50800</xdr:rowOff>
    </xdr:from>
    <xdr:ext cx="712568" cy="259080"/>
    <xdr:pic>
      <xdr:nvPicPr>
        <xdr:cNvPr id="2" name="Picture 1">
          <a:extLst>
            <a:ext uri="{FF2B5EF4-FFF2-40B4-BE49-F238E27FC236}">
              <a16:creationId xmlns:a16="http://schemas.microsoft.com/office/drawing/2014/main" id="{A555A92B-916B-4912-8339-99D05B0519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3290" y="17049750"/>
          <a:ext cx="712568" cy="2590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33</xdr:col>
      <xdr:colOff>121285</xdr:colOff>
      <xdr:row>56</xdr:row>
      <xdr:rowOff>44450</xdr:rowOff>
    </xdr:from>
    <xdr:ext cx="712568" cy="259080"/>
    <xdr:pic>
      <xdr:nvPicPr>
        <xdr:cNvPr id="6" name="Picture 5">
          <a:extLst>
            <a:ext uri="{FF2B5EF4-FFF2-40B4-BE49-F238E27FC236}">
              <a16:creationId xmlns:a16="http://schemas.microsoft.com/office/drawing/2014/main" id="{598F9883-1F5E-4FA7-8EF0-01A21665A3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8235" y="8718550"/>
          <a:ext cx="712568" cy="259080"/>
        </a:xfrm>
        <a:prstGeom prst="rect">
          <a:avLst/>
        </a:prstGeom>
      </xdr:spPr>
    </xdr:pic>
    <xdr:clientData/>
  </xdr:oneCellAnchor>
  <xdr:oneCellAnchor>
    <xdr:from>
      <xdr:col>32</xdr:col>
      <xdr:colOff>133985</xdr:colOff>
      <xdr:row>108</xdr:row>
      <xdr:rowOff>69850</xdr:rowOff>
    </xdr:from>
    <xdr:ext cx="712568" cy="259080"/>
    <xdr:pic>
      <xdr:nvPicPr>
        <xdr:cNvPr id="8" name="Picture 7">
          <a:extLst>
            <a:ext uri="{FF2B5EF4-FFF2-40B4-BE49-F238E27FC236}">
              <a16:creationId xmlns:a16="http://schemas.microsoft.com/office/drawing/2014/main" id="{A1727601-56E6-49A5-8184-99FDCDBCA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6785" y="172720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22226</xdr:colOff>
          <xdr:row>3</xdr:row>
          <xdr:rowOff>189300</xdr:rowOff>
        </xdr:to>
        <xdr:pic>
          <xdr:nvPicPr>
            <xdr:cNvPr id="13" name="Picture 12">
              <a:extLst>
                <a:ext uri="{FF2B5EF4-FFF2-40B4-BE49-F238E27FC236}">
                  <a16:creationId xmlns:a16="http://schemas.microsoft.com/office/drawing/2014/main" id="{3879FBE3-A02F-9F73-C96D-5EC5FD7A33BC}"/>
                </a:ext>
              </a:extLst>
            </xdr:cNvPr>
            <xdr:cNvPicPr>
              <a:picLocks noChangeAspect="1" noChangeArrowheads="1"/>
              <a:extLst>
                <a:ext uri="{84589F7E-364E-4C9E-8A38-B11213B215E9}">
                  <a14:cameraTool cellRange="Logo" spid="_x0000_s15553"/>
                </a:ext>
              </a:extLst>
            </xdr:cNvPicPr>
          </xdr:nvPicPr>
          <xdr:blipFill>
            <a:blip xmlns:r="http://schemas.openxmlformats.org/officeDocument/2006/relationships" r:embed="rId2"/>
            <a:srcRect/>
            <a:stretch>
              <a:fillRect/>
            </a:stretch>
          </xdr:blipFill>
          <xdr:spPr bwMode="auto">
            <a:xfrm>
              <a:off x="1" y="0"/>
              <a:ext cx="1320800" cy="7608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0</xdr:row>
          <xdr:rowOff>0</xdr:rowOff>
        </xdr:from>
        <xdr:to>
          <xdr:col>49</xdr:col>
          <xdr:colOff>171096</xdr:colOff>
          <xdr:row>4</xdr:row>
          <xdr:rowOff>0</xdr:rowOff>
        </xdr:to>
        <xdr:pic>
          <xdr:nvPicPr>
            <xdr:cNvPr id="14" name="Picture 13">
              <a:extLst>
                <a:ext uri="{FF2B5EF4-FFF2-40B4-BE49-F238E27FC236}">
                  <a16:creationId xmlns:a16="http://schemas.microsoft.com/office/drawing/2014/main" id="{6F831F27-8A73-7520-A92C-1AB718A94A73}"/>
                </a:ext>
              </a:extLst>
            </xdr:cNvPr>
            <xdr:cNvPicPr>
              <a:picLocks noChangeAspect="1" noChangeArrowheads="1"/>
              <a:extLst>
                <a:ext uri="{84589F7E-364E-4C9E-8A38-B11213B215E9}">
                  <a14:cameraTool cellRange="Logo" spid="_x0000_s15554"/>
                </a:ext>
              </a:extLst>
            </xdr:cNvPicPr>
          </xdr:nvPicPr>
          <xdr:blipFill>
            <a:blip xmlns:r="http://schemas.openxmlformats.org/officeDocument/2006/relationships" r:embed="rId2"/>
            <a:srcRect/>
            <a:stretch>
              <a:fillRect/>
            </a:stretch>
          </xdr:blipFill>
          <xdr:spPr bwMode="auto">
            <a:xfrm>
              <a:off x="7188200" y="0"/>
              <a:ext cx="1325526" cy="76200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32</xdr:col>
      <xdr:colOff>135890</xdr:colOff>
      <xdr:row>152</xdr:row>
      <xdr:rowOff>85090</xdr:rowOff>
    </xdr:from>
    <xdr:ext cx="712568" cy="259080"/>
    <xdr:pic>
      <xdr:nvPicPr>
        <xdr:cNvPr id="2" name="Picture 1">
          <a:extLst>
            <a:ext uri="{FF2B5EF4-FFF2-40B4-BE49-F238E27FC236}">
              <a16:creationId xmlns:a16="http://schemas.microsoft.com/office/drawing/2014/main" id="{8EC787EA-F0D4-400A-8DA8-0F677B5A09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8690" y="42287190"/>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1: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sortState xmlns:xlrd2="http://schemas.microsoft.com/office/spreadsheetml/2017/richdata2" ref="F2:F10">
    <sortCondition ref="F6:F10"/>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4" totalsRowShown="0">
  <autoFilter ref="H1:H4"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able6" displayName="Table6" ref="J1:J24" totalsRowShown="0">
  <autoFilter ref="J1:J24"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013B042-C432-4BA1-9D21-2A0E47874AED}" name="Table810" displayName="Table810" ref="B11:B14" totalsRowShown="0" headerRowDxfId="148" dataDxfId="147">
  <autoFilter ref="B11:B14" xr:uid="{1013B042-C432-4BA1-9D21-2A0E47874AED}"/>
  <tableColumns count="1">
    <tableColumn id="1" xr3:uid="{7716CE36-9BFB-439D-8FCE-8CEEB4A827E0}" name="Acceptance Table" dataDxfId="14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F0F8A11-DEC5-4D52-AB71-35E74092CB97}" name="Storms" displayName="Storms" ref="K26:L32" totalsRowShown="0" headerRowDxfId="145">
  <autoFilter ref="K26:L32" xr:uid="{1F0F8A11-DEC5-4D52-AB71-35E74092CB97}"/>
  <tableColumns count="2">
    <tableColumn id="1" xr3:uid="{27A9630C-ED81-4887-A815-D72BD35F337F}" name="Known or Adj Storm" dataDxfId="144"/>
    <tableColumn id="2" xr3:uid="{19387014-5693-4368-B806-9D31715551BD}" name="Requirements" dataDxfId="14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B9C334E-9385-4760-BF83-807AB303859A}" name="Table8" displayName="Table8" ref="L35:L37" totalsRowShown="0" headerRowDxfId="142" dataDxfId="141">
  <autoFilter ref="L35:L37" xr:uid="{6B9C334E-9385-4760-BF83-807AB303859A}"/>
  <tableColumns count="1">
    <tableColumn id="1" xr3:uid="{7328D213-0B9A-45C1-BEC7-AFB0FD436235}" name="Question" dataDxfId="14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T46"/>
  <sheetViews>
    <sheetView showGridLines="0" zoomScaleNormal="100" workbookViewId="0">
      <selection activeCell="F14" sqref="F14"/>
    </sheetView>
  </sheetViews>
  <sheetFormatPr defaultRowHeight="14.4" x14ac:dyDescent="0.3"/>
  <cols>
    <col min="1" max="1" width="28.44140625" bestFit="1" customWidth="1"/>
    <col min="2" max="2" width="30.77734375" customWidth="1"/>
    <col min="3" max="3" width="4.77734375" customWidth="1"/>
    <col min="4" max="4" width="23.33203125" bestFit="1" customWidth="1"/>
    <col min="5" max="5" width="3.77734375" customWidth="1"/>
    <col min="6" max="6" width="20.77734375" customWidth="1"/>
    <col min="7" max="7" width="4.5546875" bestFit="1" customWidth="1"/>
    <col min="8" max="8" width="26" bestFit="1" customWidth="1"/>
    <col min="9" max="9" width="3.77734375" customWidth="1"/>
    <col min="10" max="10" width="75.6640625" bestFit="1" customWidth="1"/>
    <col min="11" max="11" width="20" customWidth="1"/>
    <col min="12" max="12" width="23.33203125" bestFit="1" customWidth="1"/>
    <col min="13" max="13" width="23.33203125" customWidth="1"/>
    <col min="14" max="15" width="20.44140625" style="68" bestFit="1" customWidth="1"/>
    <col min="16" max="16" width="20.44140625" style="68" customWidth="1"/>
    <col min="17" max="17" width="25" style="68" bestFit="1" customWidth="1"/>
    <col min="18" max="19" width="20.44140625" style="68" bestFit="1" customWidth="1"/>
  </cols>
  <sheetData>
    <row r="1" spans="1:19" x14ac:dyDescent="0.3">
      <c r="A1" s="127" t="s">
        <v>325</v>
      </c>
      <c r="B1" s="128"/>
      <c r="D1" t="s">
        <v>14</v>
      </c>
      <c r="F1" t="s">
        <v>22</v>
      </c>
      <c r="H1" t="s">
        <v>38</v>
      </c>
      <c r="J1" t="s">
        <v>45</v>
      </c>
      <c r="K1">
        <v>1</v>
      </c>
      <c r="L1" s="114" t="s">
        <v>248</v>
      </c>
      <c r="M1" s="114" t="s">
        <v>336</v>
      </c>
      <c r="N1" s="114" t="s">
        <v>97</v>
      </c>
      <c r="O1" s="114" t="s">
        <v>212</v>
      </c>
      <c r="P1" s="114" t="s">
        <v>390</v>
      </c>
      <c r="Q1" s="114" t="s">
        <v>99</v>
      </c>
      <c r="R1" s="114" t="s">
        <v>96</v>
      </c>
      <c r="S1" s="114" t="s">
        <v>98</v>
      </c>
    </row>
    <row r="2" spans="1:19" x14ac:dyDescent="0.3">
      <c r="A2" s="104" t="s">
        <v>326</v>
      </c>
      <c r="B2" s="105">
        <f>EDATE(F$13,B3)</f>
        <v>46661</v>
      </c>
      <c r="D2" t="s">
        <v>15</v>
      </c>
      <c r="F2" t="s">
        <v>107</v>
      </c>
      <c r="H2" t="s">
        <v>112</v>
      </c>
      <c r="J2" t="s">
        <v>301</v>
      </c>
      <c r="K2">
        <f>K1+1</f>
        <v>2</v>
      </c>
      <c r="L2" s="65" t="s">
        <v>3</v>
      </c>
      <c r="M2" s="92">
        <v>1</v>
      </c>
      <c r="N2" s="91">
        <v>1.1000000000000001</v>
      </c>
      <c r="O2" s="91">
        <v>1.1000000000000001</v>
      </c>
      <c r="P2" s="92">
        <v>1.1000000000000001</v>
      </c>
      <c r="Q2" s="91">
        <v>1.2</v>
      </c>
      <c r="R2" s="91">
        <v>1.1000000000000001</v>
      </c>
      <c r="S2" s="92">
        <v>1.1000000000000001</v>
      </c>
    </row>
    <row r="3" spans="1:19" x14ac:dyDescent="0.3">
      <c r="A3" s="106" t="s">
        <v>327</v>
      </c>
      <c r="B3" s="107">
        <v>13</v>
      </c>
      <c r="D3" t="s">
        <v>19</v>
      </c>
      <c r="F3" t="s">
        <v>106</v>
      </c>
      <c r="H3" t="s">
        <v>113</v>
      </c>
      <c r="J3" t="s">
        <v>66</v>
      </c>
      <c r="K3">
        <f t="shared" ref="K3:K23" si="0">K2+1</f>
        <v>3</v>
      </c>
      <c r="L3" s="65" t="s">
        <v>4</v>
      </c>
      <c r="M3" s="92">
        <v>6.02</v>
      </c>
      <c r="N3" s="91">
        <v>4.1100000000000003</v>
      </c>
      <c r="O3" s="91">
        <v>4.1399999999999997</v>
      </c>
      <c r="P3" s="92">
        <v>4.12</v>
      </c>
      <c r="Q3" s="91">
        <v>5.7</v>
      </c>
      <c r="R3" s="91">
        <v>4.24</v>
      </c>
      <c r="S3" s="92">
        <v>4.21</v>
      </c>
    </row>
    <row r="4" spans="1:19" x14ac:dyDescent="0.3">
      <c r="A4" s="106" t="s">
        <v>328</v>
      </c>
      <c r="B4" s="108"/>
      <c r="D4" t="s">
        <v>17</v>
      </c>
      <c r="F4" t="s">
        <v>108</v>
      </c>
      <c r="H4" t="s">
        <v>251</v>
      </c>
      <c r="J4" t="s">
        <v>298</v>
      </c>
      <c r="K4">
        <f t="shared" si="0"/>
        <v>4</v>
      </c>
      <c r="L4" s="65" t="s">
        <v>5</v>
      </c>
      <c r="M4" s="92">
        <v>7.68</v>
      </c>
      <c r="N4" s="91">
        <v>5.01</v>
      </c>
      <c r="O4" s="91">
        <v>5.0599999999999996</v>
      </c>
      <c r="P4" s="92">
        <v>5.05</v>
      </c>
      <c r="Q4" s="91">
        <v>7.21</v>
      </c>
      <c r="R4" s="91">
        <v>5.3</v>
      </c>
      <c r="S4" s="92">
        <v>5.24</v>
      </c>
    </row>
    <row r="5" spans="1:19" x14ac:dyDescent="0.3">
      <c r="A5" s="106" t="s">
        <v>329</v>
      </c>
      <c r="B5" s="107" t="s">
        <v>357</v>
      </c>
      <c r="D5" t="s">
        <v>16</v>
      </c>
      <c r="F5" t="s">
        <v>20</v>
      </c>
      <c r="J5" t="s">
        <v>211</v>
      </c>
      <c r="K5">
        <f t="shared" si="0"/>
        <v>5</v>
      </c>
      <c r="L5" s="65" t="s">
        <v>6</v>
      </c>
      <c r="M5" s="92">
        <v>9.26</v>
      </c>
      <c r="N5" s="91">
        <v>5.87</v>
      </c>
      <c r="O5" s="91">
        <v>5.91</v>
      </c>
      <c r="P5" s="92">
        <v>5.83</v>
      </c>
      <c r="Q5" s="91">
        <v>8.6300000000000008</v>
      </c>
      <c r="R5" s="91">
        <v>6.24</v>
      </c>
      <c r="S5" s="92">
        <v>6.17</v>
      </c>
    </row>
    <row r="6" spans="1:19" x14ac:dyDescent="0.3">
      <c r="A6" s="106" t="s">
        <v>330</v>
      </c>
      <c r="B6" s="109">
        <f>IF(ISBLANK($B$4),$B$2,$B$4)</f>
        <v>46661</v>
      </c>
      <c r="D6" t="s">
        <v>18</v>
      </c>
      <c r="J6" t="s">
        <v>205</v>
      </c>
      <c r="K6">
        <f t="shared" si="0"/>
        <v>6</v>
      </c>
      <c r="L6" s="65" t="s">
        <v>7</v>
      </c>
      <c r="M6" s="92">
        <v>11.7</v>
      </c>
      <c r="N6" s="91">
        <v>7.21</v>
      </c>
      <c r="O6" s="91">
        <v>7.26</v>
      </c>
      <c r="P6" s="92">
        <v>6.91</v>
      </c>
      <c r="Q6" s="91">
        <v>10.8</v>
      </c>
      <c r="R6" s="91">
        <v>7.64</v>
      </c>
      <c r="S6" s="92">
        <v>7.55</v>
      </c>
    </row>
    <row r="7" spans="1:19" x14ac:dyDescent="0.3">
      <c r="A7" s="106" t="s">
        <v>331</v>
      </c>
      <c r="B7" s="110" t="b">
        <f>IF(License!$F$2="I ACCEPT",TRUE,FALSE)</f>
        <v>0</v>
      </c>
      <c r="D7" t="s">
        <v>20</v>
      </c>
      <c r="J7" t="s">
        <v>247</v>
      </c>
      <c r="K7">
        <f t="shared" si="0"/>
        <v>7</v>
      </c>
      <c r="L7" s="65" t="s">
        <v>260</v>
      </c>
      <c r="M7" s="92">
        <v>13.9</v>
      </c>
      <c r="N7" s="91">
        <v>8.3699999999999992</v>
      </c>
      <c r="O7" s="91">
        <v>8.48</v>
      </c>
      <c r="P7" s="92">
        <v>7.75</v>
      </c>
      <c r="Q7" s="91">
        <v>12.7</v>
      </c>
      <c r="R7" s="91">
        <v>8.8000000000000007</v>
      </c>
      <c r="S7" s="92">
        <v>8.6999999999999993</v>
      </c>
    </row>
    <row r="8" spans="1:19" x14ac:dyDescent="0.3">
      <c r="A8" s="111" t="s">
        <v>332</v>
      </c>
      <c r="B8" s="112" t="b">
        <f ca="1">OR(License!$F$4=B5, AND(B7=TRUE, NOW()&lt;B6))</f>
        <v>0</v>
      </c>
      <c r="J8" t="s">
        <v>206</v>
      </c>
      <c r="K8">
        <f t="shared" si="0"/>
        <v>8</v>
      </c>
      <c r="L8" s="65" t="s">
        <v>8</v>
      </c>
      <c r="M8" s="92">
        <v>16.3</v>
      </c>
      <c r="N8" s="91">
        <v>9.65</v>
      </c>
      <c r="O8" s="91">
        <v>9.83</v>
      </c>
      <c r="P8" s="92">
        <v>8.6</v>
      </c>
      <c r="Q8" s="91">
        <v>14.8</v>
      </c>
      <c r="R8" s="91">
        <v>10</v>
      </c>
      <c r="S8" s="92">
        <v>9.93</v>
      </c>
    </row>
    <row r="9" spans="1:19" ht="15.6" x14ac:dyDescent="0.35">
      <c r="A9" s="22"/>
      <c r="B9" s="22"/>
      <c r="J9" t="s">
        <v>94</v>
      </c>
      <c r="K9">
        <f t="shared" si="0"/>
        <v>9</v>
      </c>
      <c r="L9" s="65" t="s">
        <v>213</v>
      </c>
      <c r="M9" s="115">
        <v>40574</v>
      </c>
      <c r="N9" s="88" t="s">
        <v>214</v>
      </c>
      <c r="O9" s="88" t="s">
        <v>215</v>
      </c>
      <c r="P9" s="115"/>
      <c r="Q9" s="88" t="s">
        <v>216</v>
      </c>
      <c r="R9" s="88" t="s">
        <v>216</v>
      </c>
      <c r="S9" s="88" t="s">
        <v>217</v>
      </c>
    </row>
    <row r="10" spans="1:19" x14ac:dyDescent="0.3">
      <c r="A10" s="22"/>
      <c r="B10" s="22"/>
      <c r="J10" t="s">
        <v>356</v>
      </c>
      <c r="K10">
        <f t="shared" si="0"/>
        <v>10</v>
      </c>
      <c r="L10" s="65" t="s">
        <v>218</v>
      </c>
      <c r="M10" s="96" t="s">
        <v>220</v>
      </c>
      <c r="N10" s="68" t="s">
        <v>219</v>
      </c>
      <c r="O10" s="68" t="s">
        <v>220</v>
      </c>
      <c r="P10" s="96" t="s">
        <v>220</v>
      </c>
      <c r="Q10" s="68" t="s">
        <v>219</v>
      </c>
      <c r="R10" s="68" t="s">
        <v>219</v>
      </c>
      <c r="S10" s="68" t="s">
        <v>219</v>
      </c>
    </row>
    <row r="11" spans="1:19" x14ac:dyDescent="0.3">
      <c r="A11" s="22"/>
      <c r="B11" s="22" t="s">
        <v>333</v>
      </c>
      <c r="J11" t="s">
        <v>279</v>
      </c>
      <c r="K11">
        <f t="shared" si="0"/>
        <v>11</v>
      </c>
      <c r="L11" s="65" t="s">
        <v>221</v>
      </c>
      <c r="M11" s="96" t="s">
        <v>362</v>
      </c>
      <c r="N11" s="68" t="s">
        <v>222</v>
      </c>
      <c r="O11" s="68" t="s">
        <v>72</v>
      </c>
      <c r="P11" s="68" t="s">
        <v>72</v>
      </c>
      <c r="Q11" s="68" t="s">
        <v>72</v>
      </c>
      <c r="R11" s="68" t="s">
        <v>72</v>
      </c>
      <c r="S11" s="68" t="s">
        <v>72</v>
      </c>
    </row>
    <row r="12" spans="1:19" x14ac:dyDescent="0.3">
      <c r="A12" s="22"/>
      <c r="B12" s="22" t="s">
        <v>334</v>
      </c>
      <c r="K12">
        <f t="shared" si="0"/>
        <v>12</v>
      </c>
      <c r="L12" s="65" t="s">
        <v>244</v>
      </c>
      <c r="M12" s="96"/>
      <c r="P12" s="96"/>
      <c r="Q12" s="68" t="s">
        <v>245</v>
      </c>
      <c r="R12" s="68" t="s">
        <v>259</v>
      </c>
    </row>
    <row r="13" spans="1:19" x14ac:dyDescent="0.3">
      <c r="A13" s="22"/>
      <c r="B13" s="22" t="s">
        <v>320</v>
      </c>
      <c r="D13" s="65" t="s">
        <v>203</v>
      </c>
      <c r="F13" s="94">
        <v>46266</v>
      </c>
      <c r="K13">
        <f t="shared" si="0"/>
        <v>13</v>
      </c>
      <c r="L13" s="65" t="s">
        <v>246</v>
      </c>
      <c r="M13" s="96">
        <v>6</v>
      </c>
      <c r="N13" s="68">
        <v>5</v>
      </c>
      <c r="O13" s="68">
        <v>5</v>
      </c>
      <c r="P13" s="96">
        <v>6</v>
      </c>
      <c r="Q13" s="68">
        <v>5</v>
      </c>
      <c r="R13" s="68">
        <v>6</v>
      </c>
      <c r="S13" s="68">
        <v>6</v>
      </c>
    </row>
    <row r="14" spans="1:19" x14ac:dyDescent="0.3">
      <c r="A14" s="22"/>
      <c r="B14" s="22" t="s">
        <v>335</v>
      </c>
      <c r="D14" s="70" t="s">
        <v>100</v>
      </c>
      <c r="F14" s="95" t="s">
        <v>98</v>
      </c>
      <c r="K14">
        <f t="shared" si="0"/>
        <v>14</v>
      </c>
      <c r="L14" s="65" t="s">
        <v>252</v>
      </c>
      <c r="M14" s="116" t="s">
        <v>266</v>
      </c>
      <c r="N14" s="89"/>
      <c r="O14" s="89"/>
      <c r="P14" s="122"/>
      <c r="Q14" s="90" t="s">
        <v>266</v>
      </c>
      <c r="R14" s="90" t="s">
        <v>253</v>
      </c>
      <c r="S14" s="90" t="s">
        <v>254</v>
      </c>
    </row>
    <row r="15" spans="1:19" x14ac:dyDescent="0.3">
      <c r="D15" s="65" t="s">
        <v>3</v>
      </c>
      <c r="F15" s="91">
        <f>HLOOKUP($F$14,$M$1:$S$23,2)</f>
        <v>1.1000000000000001</v>
      </c>
      <c r="G15" s="68" t="str">
        <f>TEXT(F15,"0.00")</f>
        <v>1.10</v>
      </c>
      <c r="K15">
        <f t="shared" si="0"/>
        <v>15</v>
      </c>
      <c r="L15" s="65" t="s">
        <v>261</v>
      </c>
      <c r="M15" s="96" t="s">
        <v>262</v>
      </c>
      <c r="N15" s="68" t="s">
        <v>262</v>
      </c>
      <c r="O15" s="68" t="s">
        <v>262</v>
      </c>
      <c r="P15" s="96" t="s">
        <v>262</v>
      </c>
      <c r="Q15" s="68" t="s">
        <v>262</v>
      </c>
      <c r="R15" s="68" t="s">
        <v>262</v>
      </c>
      <c r="S15" s="68" t="s">
        <v>262</v>
      </c>
    </row>
    <row r="16" spans="1:19" x14ac:dyDescent="0.3">
      <c r="D16" s="65" t="s">
        <v>4</v>
      </c>
      <c r="F16" s="91">
        <f>HLOOKUP($F$14,$M$1:$S$23,3)</f>
        <v>4.21</v>
      </c>
      <c r="K16">
        <f t="shared" si="0"/>
        <v>16</v>
      </c>
      <c r="L16" s="65" t="s">
        <v>282</v>
      </c>
      <c r="M16" s="96">
        <v>6</v>
      </c>
      <c r="N16" s="68">
        <v>6</v>
      </c>
      <c r="O16" s="68">
        <v>6</v>
      </c>
      <c r="P16" s="96">
        <v>6</v>
      </c>
      <c r="Q16" s="68">
        <v>6</v>
      </c>
      <c r="R16" s="68">
        <v>6</v>
      </c>
      <c r="S16" s="68">
        <v>6</v>
      </c>
    </row>
    <row r="17" spans="4:20" x14ac:dyDescent="0.3">
      <c r="D17" s="65" t="s">
        <v>5</v>
      </c>
      <c r="F17" s="91">
        <f>HLOOKUP($F$14,$M$1:$S$23,4)</f>
        <v>5.24</v>
      </c>
      <c r="G17" s="69"/>
      <c r="K17">
        <f t="shared" si="0"/>
        <v>17</v>
      </c>
      <c r="L17" s="65" t="s">
        <v>283</v>
      </c>
      <c r="M17" s="96" t="s">
        <v>89</v>
      </c>
      <c r="N17" s="96" t="s">
        <v>89</v>
      </c>
      <c r="O17" s="96" t="s">
        <v>89</v>
      </c>
      <c r="P17" s="96" t="s">
        <v>89</v>
      </c>
      <c r="Q17" s="96" t="s">
        <v>89</v>
      </c>
      <c r="R17" s="96" t="s">
        <v>89</v>
      </c>
      <c r="S17" s="96" t="s">
        <v>89</v>
      </c>
    </row>
    <row r="18" spans="4:20" x14ac:dyDescent="0.3">
      <c r="D18" s="65" t="s">
        <v>6</v>
      </c>
      <c r="F18" s="91">
        <f>HLOOKUP($F$14,$M$1:$S$23,5)</f>
        <v>6.17</v>
      </c>
      <c r="K18">
        <f t="shared" si="0"/>
        <v>18</v>
      </c>
      <c r="L18" s="65" t="s">
        <v>284</v>
      </c>
      <c r="M18" s="96">
        <v>25</v>
      </c>
      <c r="N18" s="96">
        <v>25</v>
      </c>
      <c r="O18" s="96">
        <v>25</v>
      </c>
      <c r="P18" s="96">
        <v>25</v>
      </c>
      <c r="Q18" s="96">
        <v>2</v>
      </c>
      <c r="R18" s="96">
        <v>25</v>
      </c>
      <c r="S18" s="96">
        <v>25</v>
      </c>
    </row>
    <row r="19" spans="4:20" x14ac:dyDescent="0.3">
      <c r="D19" s="65" t="s">
        <v>7</v>
      </c>
      <c r="F19" s="91">
        <f>HLOOKUP($F$14,$M$1:$S$23,6)</f>
        <v>7.55</v>
      </c>
      <c r="K19" s="22">
        <f t="shared" si="0"/>
        <v>19</v>
      </c>
      <c r="L19" s="65" t="s">
        <v>307</v>
      </c>
      <c r="M19" s="96" t="str">
        <f t="shared" ref="M19" si="1">VLOOKUP(M18,$K$27:$L$32,2)</f>
        <v>25, 50, and 100</v>
      </c>
      <c r="N19" s="96" t="str">
        <f t="shared" ref="N19:S19" si="2">VLOOKUP(N18,$K$27:$L$32,2)</f>
        <v>25, 50, and 100</v>
      </c>
      <c r="O19" s="96" t="str">
        <f t="shared" si="2"/>
        <v>25, 50, and 100</v>
      </c>
      <c r="P19" s="96" t="str">
        <f t="shared" si="2"/>
        <v>25, 50, and 100</v>
      </c>
      <c r="Q19" s="96" t="str">
        <f t="shared" si="2"/>
        <v>2, 5, 10, 25, 50, and 100</v>
      </c>
      <c r="R19" s="96" t="str">
        <f t="shared" si="2"/>
        <v>25, 50, and 100</v>
      </c>
      <c r="S19" s="96" t="str">
        <f t="shared" si="2"/>
        <v>25, 50, and 100</v>
      </c>
      <c r="T19" s="22"/>
    </row>
    <row r="20" spans="4:20" x14ac:dyDescent="0.3">
      <c r="D20" s="65" t="s">
        <v>260</v>
      </c>
      <c r="F20" s="91">
        <f>HLOOKUP($F$14,$M$1:$S$23,7)</f>
        <v>8.6999999999999993</v>
      </c>
      <c r="K20" s="22">
        <f t="shared" si="0"/>
        <v>20</v>
      </c>
      <c r="L20" s="65" t="s">
        <v>285</v>
      </c>
      <c r="M20" s="96" t="s">
        <v>89</v>
      </c>
      <c r="N20" s="96" t="s">
        <v>89</v>
      </c>
      <c r="O20" s="96" t="s">
        <v>89</v>
      </c>
      <c r="P20" s="96" t="s">
        <v>89</v>
      </c>
      <c r="Q20" s="96" t="s">
        <v>102</v>
      </c>
      <c r="R20" s="96" t="s">
        <v>102</v>
      </c>
      <c r="S20" s="96" t="s">
        <v>102</v>
      </c>
      <c r="T20" s="22"/>
    </row>
    <row r="21" spans="4:20" x14ac:dyDescent="0.3">
      <c r="D21" s="65" t="s">
        <v>8</v>
      </c>
      <c r="F21" s="91">
        <f>HLOOKUP($F$14,$M$1:$S$23,8)</f>
        <v>9.93</v>
      </c>
      <c r="K21" s="22">
        <f t="shared" si="0"/>
        <v>21</v>
      </c>
      <c r="L21" s="65" t="s">
        <v>286</v>
      </c>
      <c r="M21" s="96">
        <v>25</v>
      </c>
      <c r="N21" s="96">
        <v>25</v>
      </c>
      <c r="O21" s="96">
        <v>25</v>
      </c>
      <c r="P21" s="96">
        <v>25</v>
      </c>
      <c r="Q21" s="96">
        <v>2</v>
      </c>
      <c r="R21" s="96">
        <v>25</v>
      </c>
      <c r="S21" s="96">
        <v>25</v>
      </c>
      <c r="T21" s="22"/>
    </row>
    <row r="22" spans="4:20" x14ac:dyDescent="0.3">
      <c r="D22" s="65" t="s">
        <v>213</v>
      </c>
      <c r="F22" s="93" t="str">
        <f>HLOOKUP($F$14,$M$1:$S$23,9)</f>
        <v>1 July 2018</v>
      </c>
      <c r="J22" s="22"/>
      <c r="K22" s="22">
        <f t="shared" si="0"/>
        <v>22</v>
      </c>
      <c r="L22" s="65" t="s">
        <v>308</v>
      </c>
      <c r="M22" s="96" t="str">
        <f t="shared" ref="M22" si="3">VLOOKUP(M21,$K$27:$L$32,2)</f>
        <v>25, 50, and 100</v>
      </c>
      <c r="N22" s="96" t="str">
        <f t="shared" ref="N22:S22" si="4">VLOOKUP(N21,$K$27:$L$32,2)</f>
        <v>25, 50, and 100</v>
      </c>
      <c r="O22" s="96" t="str">
        <f t="shared" si="4"/>
        <v>25, 50, and 100</v>
      </c>
      <c r="P22" s="96" t="str">
        <f t="shared" si="4"/>
        <v>25, 50, and 100</v>
      </c>
      <c r="Q22" s="96" t="str">
        <f t="shared" si="4"/>
        <v>2, 5, 10, 25, 50, and 100</v>
      </c>
      <c r="R22" s="96" t="str">
        <f t="shared" si="4"/>
        <v>25, 50, and 100</v>
      </c>
      <c r="S22" s="96" t="str">
        <f t="shared" si="4"/>
        <v>25, 50, and 100</v>
      </c>
      <c r="T22" s="22"/>
    </row>
    <row r="23" spans="4:20" x14ac:dyDescent="0.3">
      <c r="D23" s="65" t="s">
        <v>223</v>
      </c>
      <c r="F23" s="93" t="str">
        <f>HLOOKUP($F$14,$M$1:$S$23,10)</f>
        <v>City</v>
      </c>
      <c r="J23" s="22"/>
      <c r="K23" s="22">
        <f t="shared" si="0"/>
        <v>23</v>
      </c>
      <c r="L23" s="65" t="s">
        <v>306</v>
      </c>
      <c r="M23" s="96" t="s">
        <v>363</v>
      </c>
      <c r="N23" s="96" t="s">
        <v>391</v>
      </c>
      <c r="O23" s="96" t="s">
        <v>391</v>
      </c>
      <c r="P23" s="96" t="s">
        <v>391</v>
      </c>
      <c r="Q23" s="96" t="s">
        <v>391</v>
      </c>
      <c r="R23" s="96" t="s">
        <v>392</v>
      </c>
      <c r="S23" s="96" t="s">
        <v>391</v>
      </c>
      <c r="T23" s="22"/>
    </row>
    <row r="24" spans="4:20" x14ac:dyDescent="0.3">
      <c r="D24" s="65" t="s">
        <v>221</v>
      </c>
      <c r="F24" s="93" t="str">
        <f>HLOOKUP($F$14,$M$1:$S$23,11)</f>
        <v xml:space="preserve"> O&amp;M Agreement</v>
      </c>
      <c r="K24" s="22">
        <v>24</v>
      </c>
      <c r="L24" s="65" t="s">
        <v>337</v>
      </c>
      <c r="M24" s="96" t="s">
        <v>336</v>
      </c>
      <c r="N24" s="96" t="s">
        <v>338</v>
      </c>
      <c r="O24" s="96" t="s">
        <v>339</v>
      </c>
      <c r="P24" s="96" t="s">
        <v>390</v>
      </c>
      <c r="Q24" s="96" t="s">
        <v>340</v>
      </c>
      <c r="R24" s="96" t="s">
        <v>341</v>
      </c>
      <c r="S24" s="96" t="s">
        <v>342</v>
      </c>
      <c r="T24" s="22"/>
    </row>
    <row r="25" spans="4:20" x14ac:dyDescent="0.3">
      <c r="D25" s="65" t="s">
        <v>244</v>
      </c>
      <c r="F25" s="68">
        <f>HLOOKUP($F$14,$M$1:$S$23,12)</f>
        <v>0</v>
      </c>
      <c r="K25" s="22"/>
      <c r="L25" s="22"/>
      <c r="M25" s="22"/>
      <c r="N25" s="22"/>
      <c r="O25" s="22"/>
      <c r="Q25" s="22"/>
      <c r="R25" s="22"/>
      <c r="S25" s="22"/>
      <c r="T25" s="22"/>
    </row>
    <row r="26" spans="4:20" x14ac:dyDescent="0.3">
      <c r="D26" s="65" t="s">
        <v>246</v>
      </c>
      <c r="F26" s="91">
        <f>HLOOKUP($F$14,$M$1:$S$23,13)</f>
        <v>6</v>
      </c>
      <c r="K26" s="96" t="s">
        <v>309</v>
      </c>
      <c r="L26" s="96" t="s">
        <v>310</v>
      </c>
      <c r="M26" s="96"/>
      <c r="O26" s="22"/>
      <c r="P26" s="22"/>
      <c r="Q26" s="22"/>
      <c r="R26" s="22"/>
      <c r="S26" s="22"/>
      <c r="T26" s="22"/>
    </row>
    <row r="27" spans="4:20" x14ac:dyDescent="0.3">
      <c r="D27" s="65" t="s">
        <v>255</v>
      </c>
      <c r="F27" s="89" t="str">
        <f>HLOOKUP($F$14,$M$1:$S$23,14)</f>
        <v>1 September</v>
      </c>
      <c r="K27" s="22">
        <v>2</v>
      </c>
      <c r="L27" s="65" t="s">
        <v>262</v>
      </c>
      <c r="M27" s="65"/>
      <c r="O27" s="22"/>
      <c r="P27" s="22"/>
      <c r="Q27" s="22"/>
      <c r="R27" s="22"/>
      <c r="S27" s="22"/>
      <c r="T27" s="22"/>
    </row>
    <row r="28" spans="4:20" x14ac:dyDescent="0.3">
      <c r="D28" s="65" t="s">
        <v>261</v>
      </c>
      <c r="F28" s="89" t="str">
        <f>HLOOKUP($F$14,$M$1:$S$23,15)</f>
        <v>2, 5, 10, 25, 50, and 100</v>
      </c>
      <c r="K28" s="22">
        <v>5</v>
      </c>
      <c r="L28" s="65" t="s">
        <v>312</v>
      </c>
      <c r="M28" s="65"/>
      <c r="O28" s="22"/>
      <c r="P28" s="22"/>
      <c r="Q28" s="22"/>
      <c r="R28" s="22"/>
      <c r="S28" s="22"/>
      <c r="T28" s="22"/>
    </row>
    <row r="29" spans="4:20" x14ac:dyDescent="0.3">
      <c r="D29" s="65" t="s">
        <v>283</v>
      </c>
      <c r="E29" s="85"/>
      <c r="F29" s="89" t="str">
        <f>HLOOKUP($F$14,$M$1:$S$23,17)</f>
        <v>No</v>
      </c>
      <c r="K29" s="22">
        <v>10</v>
      </c>
      <c r="L29" s="65" t="s">
        <v>313</v>
      </c>
      <c r="M29" s="65"/>
      <c r="N29" s="22"/>
      <c r="O29" s="22"/>
      <c r="P29" s="22"/>
      <c r="Q29" s="22"/>
      <c r="R29" s="22"/>
      <c r="S29" s="22"/>
      <c r="T29" s="22"/>
    </row>
    <row r="30" spans="4:20" x14ac:dyDescent="0.3">
      <c r="D30" s="65" t="s">
        <v>284</v>
      </c>
      <c r="E30" s="85"/>
      <c r="F30" s="85">
        <f>HLOOKUP($F$14,$M$1:$S$23,18)</f>
        <v>25</v>
      </c>
      <c r="K30" s="22">
        <v>25</v>
      </c>
      <c r="L30" s="65" t="s">
        <v>314</v>
      </c>
      <c r="M30" s="65"/>
      <c r="N30" s="22"/>
      <c r="O30" s="22"/>
      <c r="P30" s="22"/>
      <c r="Q30" s="22"/>
      <c r="R30" s="22"/>
      <c r="S30" s="22"/>
      <c r="T30" s="22"/>
    </row>
    <row r="31" spans="4:20" x14ac:dyDescent="0.3">
      <c r="D31" s="65" t="s">
        <v>307</v>
      </c>
      <c r="E31" s="85"/>
      <c r="F31" s="85" t="str">
        <f>HLOOKUP($F$14,$M$1:$S$23,19)</f>
        <v>25, 50, and 100</v>
      </c>
      <c r="K31" s="22">
        <v>50</v>
      </c>
      <c r="L31" s="65" t="s">
        <v>315</v>
      </c>
      <c r="M31" s="65"/>
      <c r="N31" s="22"/>
      <c r="O31" s="22"/>
      <c r="P31" s="22"/>
      <c r="Q31" s="22"/>
      <c r="R31" s="22"/>
      <c r="S31" s="22"/>
      <c r="T31" s="22"/>
    </row>
    <row r="32" spans="4:20" x14ac:dyDescent="0.3">
      <c r="D32" s="65" t="s">
        <v>285</v>
      </c>
      <c r="E32" s="85"/>
      <c r="F32" s="89" t="str">
        <f>HLOOKUP($F$14,$M$1:$S$23,20)</f>
        <v>Yes</v>
      </c>
      <c r="K32" s="22">
        <v>100</v>
      </c>
      <c r="L32" s="65">
        <v>100</v>
      </c>
      <c r="M32" s="65"/>
      <c r="N32" s="22"/>
      <c r="O32" s="22"/>
      <c r="P32" s="22"/>
      <c r="Q32" s="22"/>
      <c r="R32" s="22"/>
      <c r="S32" s="22"/>
      <c r="T32" s="22"/>
    </row>
    <row r="33" spans="4:20" x14ac:dyDescent="0.3">
      <c r="D33" s="65" t="s">
        <v>286</v>
      </c>
      <c r="E33" s="85"/>
      <c r="F33" s="85">
        <f>HLOOKUP($F$14,$M$1:$S$23,21)</f>
        <v>25</v>
      </c>
      <c r="N33" s="22"/>
      <c r="O33" s="22"/>
      <c r="P33" s="22"/>
      <c r="Q33" s="22"/>
      <c r="R33" s="22"/>
      <c r="S33" s="22"/>
      <c r="T33" s="22"/>
    </row>
    <row r="34" spans="4:20" x14ac:dyDescent="0.3">
      <c r="D34" s="65" t="s">
        <v>308</v>
      </c>
      <c r="E34" s="85"/>
      <c r="F34" s="85" t="str">
        <f>HLOOKUP($F$14,$M$1:$S$23,22)</f>
        <v>25, 50, and 100</v>
      </c>
      <c r="K34" s="22"/>
      <c r="L34" s="65"/>
      <c r="M34" s="65"/>
      <c r="N34" s="22"/>
      <c r="O34" s="22"/>
      <c r="P34" s="22"/>
      <c r="Q34" s="22"/>
      <c r="R34" s="22"/>
      <c r="S34" s="22"/>
      <c r="T34" s="22"/>
    </row>
    <row r="35" spans="4:20" x14ac:dyDescent="0.3">
      <c r="D35" s="65" t="s">
        <v>316</v>
      </c>
      <c r="E35" s="97"/>
      <c r="F35" s="97">
        <f>MIN(F30,F33)</f>
        <v>25</v>
      </c>
      <c r="K35" s="22"/>
      <c r="L35" s="96" t="s">
        <v>311</v>
      </c>
      <c r="M35" s="65"/>
      <c r="N35" s="22"/>
      <c r="O35" s="22"/>
      <c r="P35" s="22"/>
      <c r="Q35" s="22"/>
      <c r="R35" s="22"/>
      <c r="S35" s="22"/>
      <c r="T35" s="22"/>
    </row>
    <row r="36" spans="4:20" x14ac:dyDescent="0.3">
      <c r="D36" s="65" t="s">
        <v>317</v>
      </c>
      <c r="E36" s="97"/>
      <c r="F36" s="96" t="str">
        <f>VLOOKUP(F35,$K$27:$L$32,2)</f>
        <v>25, 50, and 100</v>
      </c>
      <c r="K36" s="22"/>
      <c r="L36" s="96" t="s">
        <v>102</v>
      </c>
      <c r="M36" s="65"/>
      <c r="N36" s="22"/>
      <c r="O36" s="22"/>
      <c r="P36" s="22"/>
      <c r="Q36" s="22"/>
      <c r="R36" s="22"/>
      <c r="S36" s="22"/>
      <c r="T36" s="22"/>
    </row>
    <row r="37" spans="4:20" x14ac:dyDescent="0.3">
      <c r="D37" s="70" t="s">
        <v>306</v>
      </c>
      <c r="F37" s="85" t="str">
        <f>HLOOKUP($F$14,$M$1:$S$23,23)</f>
        <v>Release Agreement</v>
      </c>
      <c r="L37" s="96" t="s">
        <v>89</v>
      </c>
    </row>
    <row r="38" spans="4:20" x14ac:dyDescent="0.3">
      <c r="D38" s="70" t="s">
        <v>337</v>
      </c>
      <c r="F38" s="85" t="str">
        <f>HLOOKUP($F$14,$M$1:$S$24,24)</f>
        <v>the City of Prattville</v>
      </c>
    </row>
    <row r="39" spans="4:20" x14ac:dyDescent="0.3">
      <c r="H39" s="81" t="s">
        <v>240</v>
      </c>
    </row>
    <row r="40" spans="4:20" ht="64.95" customHeight="1" x14ac:dyDescent="0.3">
      <c r="D40" s="22"/>
      <c r="E40" s="113" t="s">
        <v>336</v>
      </c>
      <c r="F40" s="22"/>
    </row>
    <row r="41" spans="4:20" ht="64.95" customHeight="1" x14ac:dyDescent="0.3">
      <c r="E41" s="65" t="s">
        <v>97</v>
      </c>
    </row>
    <row r="42" spans="4:20" ht="64.95" customHeight="1" x14ac:dyDescent="0.3">
      <c r="E42" s="65" t="s">
        <v>212</v>
      </c>
    </row>
    <row r="43" spans="4:20" ht="64.95" customHeight="1" x14ac:dyDescent="0.3">
      <c r="E43" s="65" t="s">
        <v>390</v>
      </c>
      <c r="F43" s="123" t="e" vm="1">
        <v>#VALUE!</v>
      </c>
    </row>
    <row r="44" spans="4:20" ht="64.95" customHeight="1" x14ac:dyDescent="0.3">
      <c r="E44" s="65" t="s">
        <v>99</v>
      </c>
    </row>
    <row r="45" spans="4:20" ht="64.95" customHeight="1" x14ac:dyDescent="0.3">
      <c r="E45" s="65" t="s">
        <v>96</v>
      </c>
    </row>
    <row r="46" spans="4:20" ht="64.95" customHeight="1" x14ac:dyDescent="0.3">
      <c r="E46" s="65" t="s">
        <v>98</v>
      </c>
    </row>
  </sheetData>
  <sheetProtection algorithmName="SHA-512" hashValue="jdyU61AulYjMwk5ZivJGes+h/IRPWnweYX9WNVPqw24ZY1aS4ZOruQxHVnD93PynuNmqCODTbQr0mddJPgZ5Aw==" saltValue="scfNmiansoMASygBvB7ing==" spinCount="100000" sheet="1" objects="1" scenarios="1"/>
  <mergeCells count="1">
    <mergeCell ref="A1:B1"/>
  </mergeCells>
  <dataValidations count="4">
    <dataValidation type="list" allowBlank="1" showInputMessage="1" showErrorMessage="1" sqref="F14" xr:uid="{72F3BB5F-638F-49B0-81F5-3EA65ED35E7A}">
      <formula1>$M1:$S$1</formula1>
    </dataValidation>
    <dataValidation type="list" allowBlank="1" showInputMessage="1" showErrorMessage="1" sqref="M21:S21 M18:S18" xr:uid="{62D622BB-2C47-4082-A0B7-AB881E2DBE24}">
      <formula1>$K$27:$K$32</formula1>
    </dataValidation>
    <dataValidation type="list" allowBlank="1" showInputMessage="1" showErrorMessage="1" sqref="Q20:S20 M20:O20 M17:O17 Q17:S17" xr:uid="{2B22AD2C-3136-4E0A-9203-72ADE789A2D1}">
      <formula1>$L$36:$L$37</formula1>
    </dataValidation>
    <dataValidation type="list" allowBlank="1" showInputMessage="1" showErrorMessage="1" sqref="P20 P17" xr:uid="{09B1D81C-B1CD-4BA3-97B6-B0089568932A}">
      <formula1>$L$35:$L$36</formula1>
    </dataValidation>
  </dataValidations>
  <pageMargins left="0.7" right="0.7" top="0.75" bottom="0.75" header="0.3" footer="0.3"/>
  <pageSetup orientation="portrait" horizontalDpi="1200" verticalDpi="1200" r:id="rId1"/>
  <drawing r:id="rId2"/>
  <legacyDrawing r:id="rId3"/>
  <tableParts count="7">
    <tablePart r:id="rId4"/>
    <tablePart r:id="rId5"/>
    <tablePart r:id="rId6"/>
    <tablePart r:id="rId7"/>
    <tablePart r:id="rId8"/>
    <tablePart r:id="rId9"/>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Z57"/>
  <sheetViews>
    <sheetView showGridLines="0" showRowColHeaders="0" tabSelected="1" zoomScale="130" zoomScaleNormal="130" workbookViewId="0">
      <pane xSplit="1" ySplit="3" topLeftCell="B5" activePane="bottomRight" state="frozen"/>
      <selection pane="topRight" activeCell="B1" sqref="B1"/>
      <selection pane="bottomLeft" activeCell="A4" sqref="A4"/>
      <selection pane="bottomRight" activeCell="F2" sqref="F2"/>
    </sheetView>
  </sheetViews>
  <sheetFormatPr defaultColWidth="0" defaultRowHeight="19.95" customHeight="1" zeroHeight="1" x14ac:dyDescent="0.3"/>
  <cols>
    <col min="1" max="1" width="8.88671875" style="99" hidden="1" customWidth="1"/>
    <col min="2" max="2" width="4.77734375" style="11" customWidth="1"/>
    <col min="3" max="3" width="5.77734375" style="10" customWidth="1"/>
    <col min="4" max="4" width="24.77734375" style="11" customWidth="1"/>
    <col min="5" max="5" width="8.88671875" style="11" customWidth="1"/>
    <col min="6" max="6" width="20.77734375" style="11" customWidth="1"/>
    <col min="7" max="14" width="8.88671875" style="11" customWidth="1"/>
    <col min="15" max="15" width="10.77734375" style="11" customWidth="1"/>
    <col min="16" max="16" width="10.77734375" customWidth="1"/>
    <col min="17" max="19" width="8.88671875" customWidth="1"/>
    <col min="20" max="20" width="8.88671875" style="11" customWidth="1"/>
    <col min="21" max="24" width="0" style="11" hidden="1" customWidth="1"/>
    <col min="25" max="25" width="8.88671875" style="11" hidden="1" customWidth="1"/>
    <col min="26" max="26" width="0" style="11" hidden="1" customWidth="1"/>
    <col min="27" max="16384" width="8.88671875" style="11" hidden="1"/>
  </cols>
  <sheetData>
    <row r="1" spans="1:19" ht="19.95" customHeight="1" x14ac:dyDescent="0.3">
      <c r="C1" s="43" t="s">
        <v>389</v>
      </c>
      <c r="N1" s="98" t="s">
        <v>318</v>
      </c>
      <c r="O1" s="125">
        <f>Tables!F13</f>
        <v>46266</v>
      </c>
      <c r="P1" s="125"/>
      <c r="Q1" s="117"/>
      <c r="R1" s="117"/>
      <c r="S1" s="117"/>
    </row>
    <row r="2" spans="1:19" ht="19.95" customHeight="1" x14ac:dyDescent="0.3">
      <c r="A2" s="101">
        <f>IF(OR(F2="I ACCEPT",F2="I DO NOT ACCEPT"),1,2)</f>
        <v>2</v>
      </c>
      <c r="E2" s="98" t="s">
        <v>319</v>
      </c>
      <c r="F2" s="100" t="s">
        <v>334</v>
      </c>
      <c r="N2" s="98" t="s">
        <v>321</v>
      </c>
      <c r="O2" s="125">
        <f>Tables!B6</f>
        <v>46661</v>
      </c>
      <c r="P2" s="125"/>
      <c r="Q2" s="117"/>
      <c r="R2" s="117"/>
      <c r="S2" s="117"/>
    </row>
    <row r="3" spans="1:19" ht="19.95" customHeight="1" x14ac:dyDescent="0.3">
      <c r="A3" s="101">
        <f ca="1">IF(F3="Workbook is Locked and Unavailable",2,1)</f>
        <v>2</v>
      </c>
      <c r="E3" s="98" t="s">
        <v>322</v>
      </c>
      <c r="F3" s="126" t="str">
        <f ca="1">IF(Tables!$B$8,"Workbook is Active","Workbook is Locked and Unavailable")</f>
        <v>Workbook is Locked and Unavailable</v>
      </c>
      <c r="G3" s="126"/>
      <c r="H3" s="126"/>
    </row>
    <row r="4" spans="1:19" ht="19.95" hidden="1" customHeight="1" x14ac:dyDescent="0.3">
      <c r="B4" s="99"/>
      <c r="C4" s="103"/>
      <c r="D4" s="99"/>
      <c r="E4" s="80" t="s">
        <v>324</v>
      </c>
      <c r="F4" s="78"/>
      <c r="G4" s="99"/>
      <c r="H4" s="99"/>
      <c r="I4" s="99"/>
      <c r="J4" s="99"/>
      <c r="K4" s="99"/>
      <c r="L4" s="99"/>
      <c r="M4" s="99"/>
      <c r="N4" s="99"/>
      <c r="O4" s="99"/>
    </row>
    <row r="5" spans="1:19" ht="19.95" customHeight="1" x14ac:dyDescent="0.3">
      <c r="E5" s="98"/>
    </row>
    <row r="6" spans="1:19" ht="19.95" customHeight="1" x14ac:dyDescent="0.3">
      <c r="D6" s="118"/>
      <c r="E6" s="118" t="s">
        <v>323</v>
      </c>
      <c r="F6" s="11" t="s">
        <v>365</v>
      </c>
    </row>
    <row r="7" spans="1:19" ht="19.95" customHeight="1" x14ac:dyDescent="0.3">
      <c r="D7" s="118"/>
      <c r="E7" s="119"/>
      <c r="F7" s="11" t="str">
        <f>"By clicking I ACCEPT above, you represent that you are (a) preparing a post-construction submittal for "&amp;Tables!$F$38&amp;" and/or"</f>
        <v>By clicking I ACCEPT above, you represent that you are (a) preparing a post-construction submittal for the City of Prattville and/or</v>
      </c>
    </row>
    <row r="8" spans="1:19" ht="19.95" customHeight="1" x14ac:dyDescent="0.3">
      <c r="D8" s="118"/>
      <c r="E8" s="119"/>
      <c r="F8" s="11" t="s">
        <v>367</v>
      </c>
    </row>
    <row r="9" spans="1:19" ht="19.95" customHeight="1" x14ac:dyDescent="0.3">
      <c r="D9" s="118"/>
      <c r="E9" s="119"/>
      <c r="F9" s="11" t="s">
        <v>366</v>
      </c>
    </row>
    <row r="10" spans="1:19" ht="19.95" customHeight="1" x14ac:dyDescent="0.3">
      <c r="D10" s="118"/>
      <c r="E10" s="119"/>
    </row>
    <row r="11" spans="1:19" ht="19.95" customHeight="1" x14ac:dyDescent="0.3">
      <c r="D11" s="118">
        <v>1</v>
      </c>
      <c r="E11" s="5" t="s">
        <v>368</v>
      </c>
    </row>
    <row r="12" spans="1:19" ht="19.95" customHeight="1" x14ac:dyDescent="0.3">
      <c r="A12" s="102"/>
      <c r="D12" s="118"/>
      <c r="E12" s="119"/>
      <c r="F12" s="11" t="s">
        <v>343</v>
      </c>
    </row>
    <row r="13" spans="1:19" ht="19.95" customHeight="1" x14ac:dyDescent="0.3">
      <c r="D13" s="118"/>
      <c r="E13" s="119"/>
      <c r="F13" s="11" t="str">
        <f>"and submit post-construction application materials to "&amp;Tables!$F$38&amp;" and for the User's internal recordkeeping for those"</f>
        <v>and submit post-construction application materials to the City of Prattville and for the User's internal recordkeeping for those</v>
      </c>
    </row>
    <row r="14" spans="1:19" ht="19.95" customHeight="1" x14ac:dyDescent="0.3">
      <c r="D14" s="118"/>
      <c r="E14" s="119"/>
      <c r="F14" s="11" t="s">
        <v>344</v>
      </c>
    </row>
    <row r="15" spans="1:19" ht="19.95" customHeight="1" x14ac:dyDescent="0.3">
      <c r="D15" s="118"/>
      <c r="E15" s="119"/>
      <c r="F15" s="11" t="s">
        <v>369</v>
      </c>
    </row>
    <row r="16" spans="1:19" ht="19.95" customHeight="1" x14ac:dyDescent="0.3">
      <c r="D16" s="118">
        <v>2</v>
      </c>
      <c r="E16" s="5" t="s">
        <v>345</v>
      </c>
    </row>
    <row r="17" spans="4:6" ht="19.95" customHeight="1" x14ac:dyDescent="0.3">
      <c r="D17" s="118"/>
      <c r="E17" s="119"/>
      <c r="F17" s="11" t="s">
        <v>346</v>
      </c>
    </row>
    <row r="18" spans="4:6" ht="19.95" customHeight="1" x14ac:dyDescent="0.3">
      <c r="D18" s="118"/>
      <c r="E18" s="119"/>
      <c r="F18" s="11" t="s">
        <v>347</v>
      </c>
    </row>
    <row r="19" spans="4:6" ht="19.95" customHeight="1" x14ac:dyDescent="0.3">
      <c r="D19" s="118">
        <v>3</v>
      </c>
      <c r="E19" s="119" t="s">
        <v>348</v>
      </c>
    </row>
    <row r="20" spans="4:6" ht="19.95" customHeight="1" x14ac:dyDescent="0.3">
      <c r="D20" s="118"/>
      <c r="E20" s="119"/>
      <c r="F20" s="11" t="s">
        <v>358</v>
      </c>
    </row>
    <row r="21" spans="4:6" ht="19.95" customHeight="1" x14ac:dyDescent="0.3">
      <c r="D21" s="118"/>
      <c r="E21" s="119"/>
      <c r="F21" s="11" t="s">
        <v>370</v>
      </c>
    </row>
    <row r="22" spans="4:6" ht="19.95" customHeight="1" x14ac:dyDescent="0.3">
      <c r="D22" s="118"/>
      <c r="E22" s="119"/>
      <c r="F22" s="11" t="str">
        <f>"forms to the "&amp;Tables!$F$23&amp;" as intended.  The "&amp;Tables!$F$23&amp;" may host and distribute the unmodified Tool to prospective submitters for"</f>
        <v>forms to the City as intended.  The City may host and distribute the unmodified Tool to prospective submitters for</v>
      </c>
    </row>
    <row r="23" spans="4:6" ht="19.95" customHeight="1" x14ac:dyDescent="0.3">
      <c r="D23" s="118"/>
      <c r="E23" s="119"/>
      <c r="F23" s="11" t="s">
        <v>371</v>
      </c>
    </row>
    <row r="24" spans="4:6" ht="19.95" customHeight="1" x14ac:dyDescent="0.3">
      <c r="D24" s="118">
        <v>4</v>
      </c>
      <c r="E24" s="119" t="s">
        <v>349</v>
      </c>
    </row>
    <row r="25" spans="4:6" ht="19.95" customHeight="1" x14ac:dyDescent="0.3">
      <c r="D25" s="118"/>
      <c r="E25" s="119"/>
      <c r="F25" s="11" t="s">
        <v>359</v>
      </c>
    </row>
    <row r="26" spans="4:6" ht="19.95" customHeight="1" x14ac:dyDescent="0.3">
      <c r="D26" s="118"/>
      <c r="E26" s="119"/>
      <c r="F26" s="11" t="s">
        <v>372</v>
      </c>
    </row>
    <row r="27" spans="4:6" ht="19.95" customHeight="1" x14ac:dyDescent="0.3">
      <c r="D27" s="118"/>
      <c r="E27" s="119"/>
      <c r="F27" s="11" t="s">
        <v>373</v>
      </c>
    </row>
    <row r="28" spans="4:6" ht="19.95" customHeight="1" x14ac:dyDescent="0.3">
      <c r="D28" s="118">
        <v>5</v>
      </c>
      <c r="E28" s="119" t="s">
        <v>350</v>
      </c>
    </row>
    <row r="29" spans="4:6" ht="19.95" customHeight="1" x14ac:dyDescent="0.3">
      <c r="D29" s="118"/>
      <c r="E29" s="119"/>
      <c r="F29" s="11" t="str">
        <f>"Outputs and application materials generated with the Tool may be public records of "&amp;Tables!$F$38&amp;"; the Tool itself"</f>
        <v>Outputs and application materials generated with the Tool may be public records of the City of Prattville; the Tool itself</v>
      </c>
    </row>
    <row r="30" spans="4:6" ht="19.95" customHeight="1" x14ac:dyDescent="0.3">
      <c r="D30" s="118"/>
      <c r="E30" s="119"/>
      <c r="F30" s="11" t="s">
        <v>374</v>
      </c>
    </row>
    <row r="31" spans="4:6" ht="19.95" customHeight="1" x14ac:dyDescent="0.3">
      <c r="D31" s="118">
        <v>6</v>
      </c>
      <c r="E31" s="119" t="s">
        <v>375</v>
      </c>
    </row>
    <row r="32" spans="4:6" ht="19.95" customHeight="1" x14ac:dyDescent="0.3">
      <c r="D32" s="118"/>
      <c r="E32" s="119"/>
      <c r="F32" s="11" t="str">
        <f>"The Tool is a convenience aid and does not constitute engineering, legal or compliance advice. The "&amp;Tables!$F$38&amp;"'s standards and"</f>
        <v>The Tool is a convenience aid and does not constitute engineering, legal or compliance advice. The the City of Prattville's standards and</v>
      </c>
    </row>
    <row r="33" spans="4:6" ht="19.95" customHeight="1" x14ac:dyDescent="0.3">
      <c r="D33" s="118"/>
      <c r="E33" s="119"/>
      <c r="F33" s="11" t="s">
        <v>376</v>
      </c>
    </row>
    <row r="34" spans="4:6" ht="19.95" customHeight="1" x14ac:dyDescent="0.3">
      <c r="D34" s="118">
        <v>7</v>
      </c>
      <c r="E34" s="119" t="s">
        <v>351</v>
      </c>
    </row>
    <row r="35" spans="4:6" ht="19.95" customHeight="1" x14ac:dyDescent="0.3">
      <c r="D35" s="118"/>
      <c r="E35" s="119"/>
      <c r="F35" s="11" t="s">
        <v>360</v>
      </c>
    </row>
    <row r="36" spans="4:6" ht="19.95" customHeight="1" x14ac:dyDescent="0.3">
      <c r="D36" s="118"/>
      <c r="E36" s="119"/>
      <c r="F36" s="11" t="s">
        <v>377</v>
      </c>
    </row>
    <row r="37" spans="4:6" ht="19.95" customHeight="1" x14ac:dyDescent="0.3">
      <c r="D37" s="118"/>
      <c r="E37" s="119"/>
      <c r="F37" s="11" t="s">
        <v>361</v>
      </c>
    </row>
    <row r="38" spans="4:6" ht="19.95" customHeight="1" x14ac:dyDescent="0.3">
      <c r="D38" s="118">
        <v>8</v>
      </c>
      <c r="E38" s="119" t="s">
        <v>352</v>
      </c>
    </row>
    <row r="39" spans="4:6" ht="19.95" customHeight="1" x14ac:dyDescent="0.3">
      <c r="D39" s="118"/>
      <c r="E39" s="119"/>
      <c r="F39" s="11" t="s">
        <v>353</v>
      </c>
    </row>
    <row r="40" spans="4:6" ht="19.95" customHeight="1" x14ac:dyDescent="0.3">
      <c r="D40" s="118"/>
      <c r="E40" s="119"/>
      <c r="F40" s="11" t="s">
        <v>354</v>
      </c>
    </row>
    <row r="41" spans="4:6" ht="19.95" customHeight="1" x14ac:dyDescent="0.3">
      <c r="D41" s="118">
        <v>9</v>
      </c>
      <c r="E41" s="119" t="s">
        <v>378</v>
      </c>
    </row>
    <row r="42" spans="4:6" ht="19.95" customHeight="1" x14ac:dyDescent="0.3">
      <c r="D42" s="118"/>
      <c r="E42" s="119"/>
      <c r="F42" s="11" t="s">
        <v>379</v>
      </c>
    </row>
    <row r="43" spans="4:6" ht="19.95" customHeight="1" x14ac:dyDescent="0.3">
      <c r="D43" s="118">
        <v>10</v>
      </c>
      <c r="E43" s="119" t="s">
        <v>380</v>
      </c>
    </row>
    <row r="44" spans="4:6" ht="19.95" customHeight="1" x14ac:dyDescent="0.3">
      <c r="D44" s="118"/>
      <c r="E44" s="119"/>
      <c r="F44" s="11" t="s">
        <v>381</v>
      </c>
    </row>
    <row r="45" spans="4:6" ht="19.95" customHeight="1" x14ac:dyDescent="0.3">
      <c r="D45" s="118"/>
      <c r="E45" s="119"/>
      <c r="F45" s="11" t="s">
        <v>382</v>
      </c>
    </row>
    <row r="46" spans="4:6" ht="19.95" customHeight="1" x14ac:dyDescent="0.3">
      <c r="D46" s="118">
        <v>11</v>
      </c>
      <c r="E46" s="119" t="s">
        <v>383</v>
      </c>
    </row>
    <row r="47" spans="4:6" ht="19.95" customHeight="1" x14ac:dyDescent="0.3">
      <c r="D47" s="118"/>
      <c r="E47" s="119"/>
      <c r="F47" s="11" t="s">
        <v>384</v>
      </c>
    </row>
    <row r="48" spans="4:6" ht="19.95" customHeight="1" x14ac:dyDescent="0.3">
      <c r="D48" s="118"/>
      <c r="E48" s="119"/>
      <c r="F48" s="11" t="s">
        <v>385</v>
      </c>
    </row>
    <row r="49" spans="4:6" ht="19.95" customHeight="1" x14ac:dyDescent="0.3">
      <c r="D49" s="118"/>
      <c r="E49" s="119"/>
      <c r="F49" s="11" t="s">
        <v>386</v>
      </c>
    </row>
    <row r="50" spans="4:6" ht="19.95" customHeight="1" x14ac:dyDescent="0.3">
      <c r="D50" s="118"/>
      <c r="E50" s="119"/>
      <c r="F50" s="11" t="s">
        <v>387</v>
      </c>
    </row>
    <row r="51" spans="4:6" ht="19.95" customHeight="1" x14ac:dyDescent="0.3">
      <c r="D51" s="118">
        <v>12</v>
      </c>
      <c r="E51" s="119" t="s">
        <v>355</v>
      </c>
    </row>
    <row r="52" spans="4:6" ht="19.95" customHeight="1" x14ac:dyDescent="0.3">
      <c r="D52" s="118"/>
      <c r="E52" s="119"/>
      <c r="F52" s="11" t="s">
        <v>388</v>
      </c>
    </row>
    <row r="53" spans="4:6" ht="19.95" customHeight="1" x14ac:dyDescent="0.3">
      <c r="D53" s="118"/>
      <c r="E53" s="119"/>
    </row>
    <row r="54" spans="4:6" ht="19.95" customHeight="1" x14ac:dyDescent="0.3">
      <c r="D54" s="118"/>
      <c r="E54" s="119"/>
    </row>
    <row r="55" spans="4:6" ht="19.95" customHeight="1" x14ac:dyDescent="0.3">
      <c r="D55" s="118"/>
      <c r="E55" s="119"/>
    </row>
    <row r="56" spans="4:6" ht="19.95" hidden="1" customHeight="1" x14ac:dyDescent="0.3">
      <c r="D56" s="118"/>
      <c r="E56" s="119"/>
    </row>
    <row r="57" spans="4:6" ht="19.95" hidden="1" customHeight="1" x14ac:dyDescent="0.3">
      <c r="D57" s="118"/>
      <c r="E57" s="119"/>
    </row>
  </sheetData>
  <sheetProtection algorithmName="SHA-512" hashValue="w6U2GXAsmKVF76YiSE8xMfgJBJr/YCIFHxLT7v5vHs+1RKG8NTXH+Wa9/bc0qc4CtZ/AgckHgl8gPAGWQHpsmw==" saltValue="QBgYU0cXvx3WFRmEaBTN/w==" spinCount="100000" sheet="1" objects="1" scenarios="1" selectLockedCells="1"/>
  <mergeCells count="3">
    <mergeCell ref="O1:P1"/>
    <mergeCell ref="O2:P2"/>
    <mergeCell ref="F3:H3"/>
  </mergeCells>
  <conditionalFormatting sqref="F2">
    <cfRule type="expression" dxfId="139" priority="1304">
      <formula>$A$2=2</formula>
    </cfRule>
  </conditionalFormatting>
  <conditionalFormatting sqref="F3:H3">
    <cfRule type="expression" dxfId="138" priority="1305">
      <formula>$A$3=2</formula>
    </cfRule>
    <cfRule type="expression" dxfId="137" priority="1306">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1163EC9-8E15-4351-BF68-23069E87D721}">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C0FD-E68A-445D-ABEC-28F1BF35ED1D}">
  <sheetPr codeName="Sheet1">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11" customWidth="1"/>
    <col min="2" max="2" width="5.77734375" style="10" customWidth="1"/>
    <col min="3" max="8" width="2.77734375" style="11" customWidth="1"/>
    <col min="9" max="10" width="8.88671875" style="11" customWidth="1"/>
    <col min="11" max="11" width="20.77734375" style="11" customWidth="1"/>
    <col min="12" max="21" width="8.88671875" style="11" customWidth="1"/>
    <col min="22" max="22" width="0" style="11" hidden="1" customWidth="1"/>
    <col min="23" max="16384" width="8.88671875" style="11" hidden="1"/>
  </cols>
  <sheetData>
    <row r="1" spans="2:17" ht="19.95" customHeight="1" x14ac:dyDescent="0.3"/>
    <row r="2" spans="2:17" ht="19.95" customHeight="1" x14ac:dyDescent="0.3">
      <c r="B2" s="43" t="s">
        <v>40</v>
      </c>
    </row>
    <row r="3" spans="2:17" ht="4.95" customHeight="1" x14ac:dyDescent="0.3">
      <c r="B3" s="43"/>
    </row>
    <row r="4" spans="2:17" ht="19.95" customHeight="1" x14ac:dyDescent="0.3">
      <c r="B4" s="10">
        <v>1</v>
      </c>
      <c r="C4" s="130" t="s">
        <v>249</v>
      </c>
      <c r="D4" s="130"/>
      <c r="E4" s="130"/>
      <c r="F4" s="130"/>
      <c r="G4" s="130"/>
      <c r="H4" s="130"/>
      <c r="I4" s="130"/>
      <c r="J4" s="130"/>
      <c r="K4" s="130"/>
      <c r="L4" s="130"/>
      <c r="M4" s="130"/>
      <c r="N4" s="130"/>
      <c r="O4" s="130"/>
      <c r="P4" s="130"/>
      <c r="Q4" s="130"/>
    </row>
    <row r="5" spans="2:17" ht="19.95" customHeight="1" x14ac:dyDescent="0.3">
      <c r="C5" s="130"/>
      <c r="D5" s="130"/>
      <c r="E5" s="130"/>
      <c r="F5" s="130"/>
      <c r="G5" s="130"/>
      <c r="H5" s="130"/>
      <c r="I5" s="130"/>
      <c r="J5" s="130"/>
      <c r="K5" s="130"/>
      <c r="L5" s="130"/>
      <c r="M5" s="130"/>
      <c r="N5" s="130"/>
      <c r="O5" s="130"/>
      <c r="P5" s="130"/>
      <c r="Q5" s="130"/>
    </row>
    <row r="6" spans="2:17" ht="19.95" customHeight="1" x14ac:dyDescent="0.3">
      <c r="B6" s="10">
        <f>B4+1</f>
        <v>2</v>
      </c>
      <c r="C6" s="11" t="s">
        <v>42</v>
      </c>
    </row>
    <row r="7" spans="2:17" ht="19.95" customHeight="1" x14ac:dyDescent="0.3">
      <c r="C7" s="12"/>
      <c r="D7" s="12"/>
      <c r="E7" s="12"/>
      <c r="F7" s="12"/>
      <c r="I7" s="11" t="s">
        <v>39</v>
      </c>
    </row>
    <row r="8" spans="2:17" ht="10.050000000000001" customHeight="1" x14ac:dyDescent="0.3"/>
    <row r="9" spans="2:17" ht="15" customHeight="1" x14ac:dyDescent="0.3">
      <c r="C9" s="13"/>
      <c r="D9" s="13"/>
      <c r="E9" s="13"/>
      <c r="F9" s="13"/>
      <c r="I9" s="129" t="s">
        <v>241</v>
      </c>
      <c r="J9" s="129"/>
      <c r="K9" s="129"/>
      <c r="L9" s="129"/>
      <c r="M9" s="129"/>
      <c r="N9" s="129"/>
      <c r="O9" s="129"/>
      <c r="P9" s="129"/>
      <c r="Q9" s="129"/>
    </row>
    <row r="10" spans="2:17" ht="15" customHeight="1" x14ac:dyDescent="0.3">
      <c r="I10" s="129"/>
      <c r="J10" s="129"/>
      <c r="K10" s="129"/>
      <c r="L10" s="129"/>
      <c r="M10" s="129"/>
      <c r="N10" s="129"/>
      <c r="O10" s="129"/>
      <c r="P10" s="129"/>
      <c r="Q10" s="129"/>
    </row>
    <row r="11" spans="2:17" ht="10.050000000000001" customHeight="1" x14ac:dyDescent="0.3">
      <c r="I11" s="44"/>
      <c r="J11" s="44"/>
      <c r="K11" s="44"/>
      <c r="L11" s="44"/>
      <c r="M11" s="44"/>
      <c r="N11" s="44"/>
      <c r="O11" s="44"/>
      <c r="P11" s="44"/>
      <c r="Q11" s="44"/>
    </row>
    <row r="12" spans="2:17" ht="15" customHeight="1" x14ac:dyDescent="0.3">
      <c r="F12" s="17"/>
      <c r="I12" s="129" t="s">
        <v>147</v>
      </c>
      <c r="J12" s="129"/>
      <c r="K12" s="129"/>
      <c r="L12" s="129"/>
      <c r="M12" s="129"/>
      <c r="N12" s="129"/>
      <c r="O12" s="129"/>
      <c r="P12" s="129"/>
      <c r="Q12" s="129"/>
    </row>
    <row r="13" spans="2:17" ht="15" customHeight="1" x14ac:dyDescent="0.3">
      <c r="I13" s="129"/>
      <c r="J13" s="129"/>
      <c r="K13" s="129"/>
      <c r="L13" s="129"/>
      <c r="M13" s="129"/>
      <c r="N13" s="129"/>
      <c r="O13" s="129"/>
      <c r="P13" s="129"/>
      <c r="Q13" s="129"/>
    </row>
    <row r="14" spans="2:17" ht="15" customHeight="1" x14ac:dyDescent="0.3">
      <c r="I14" s="129"/>
      <c r="J14" s="129"/>
      <c r="K14" s="129"/>
      <c r="L14" s="129"/>
      <c r="M14" s="129"/>
      <c r="N14" s="129"/>
      <c r="O14" s="129"/>
      <c r="P14" s="129"/>
      <c r="Q14" s="129"/>
    </row>
    <row r="15" spans="2:17" ht="15" customHeight="1" x14ac:dyDescent="0.3">
      <c r="I15" s="129"/>
      <c r="J15" s="129"/>
      <c r="K15" s="129"/>
      <c r="L15" s="129"/>
      <c r="M15" s="129"/>
      <c r="N15" s="129"/>
      <c r="O15" s="129"/>
      <c r="P15" s="129"/>
      <c r="Q15" s="129"/>
    </row>
    <row r="16" spans="2:17" ht="10.050000000000001" customHeight="1" x14ac:dyDescent="0.3">
      <c r="I16" s="45"/>
      <c r="J16" s="45"/>
      <c r="K16" s="45"/>
      <c r="L16" s="45"/>
      <c r="M16" s="45"/>
      <c r="N16" s="45"/>
      <c r="O16" s="45"/>
      <c r="P16" s="45"/>
      <c r="Q16" s="45"/>
    </row>
    <row r="17" spans="3:17" ht="15" customHeight="1" x14ac:dyDescent="0.3">
      <c r="C17" s="17"/>
      <c r="D17" s="23" t="s">
        <v>74</v>
      </c>
      <c r="E17" s="23"/>
      <c r="F17" s="17"/>
      <c r="G17" s="23" t="s">
        <v>75</v>
      </c>
      <c r="I17" s="129" t="s">
        <v>121</v>
      </c>
      <c r="J17" s="129"/>
      <c r="K17" s="129"/>
      <c r="L17" s="129"/>
      <c r="M17" s="129"/>
      <c r="N17" s="129"/>
      <c r="O17" s="129"/>
      <c r="P17" s="129"/>
      <c r="Q17" s="129"/>
    </row>
    <row r="18" spans="3:17" ht="15" customHeight="1" x14ac:dyDescent="0.3">
      <c r="I18" s="129"/>
      <c r="J18" s="129"/>
      <c r="K18" s="129"/>
      <c r="L18" s="129"/>
      <c r="M18" s="129"/>
      <c r="N18" s="129"/>
      <c r="O18" s="129"/>
      <c r="P18" s="129"/>
      <c r="Q18" s="129"/>
    </row>
    <row r="19" spans="3:17" ht="10.050000000000001" customHeight="1" x14ac:dyDescent="0.3"/>
    <row r="20" spans="3:17" ht="15" customHeight="1" x14ac:dyDescent="0.3">
      <c r="C20" s="14"/>
      <c r="D20" s="14"/>
      <c r="E20" s="14"/>
      <c r="F20" s="14"/>
      <c r="I20" s="129" t="s">
        <v>41</v>
      </c>
      <c r="J20" s="129"/>
      <c r="K20" s="129"/>
      <c r="L20" s="129"/>
      <c r="M20" s="129"/>
      <c r="N20" s="129"/>
      <c r="O20" s="129"/>
      <c r="P20" s="129"/>
      <c r="Q20" s="129"/>
    </row>
    <row r="21" spans="3:17" ht="15" customHeight="1" x14ac:dyDescent="0.3">
      <c r="I21" s="129"/>
      <c r="J21" s="129"/>
      <c r="K21" s="129"/>
      <c r="L21" s="129"/>
      <c r="M21" s="129"/>
      <c r="N21" s="129"/>
      <c r="O21" s="129"/>
      <c r="P21" s="129"/>
      <c r="Q21" s="129"/>
    </row>
    <row r="22" spans="3:17" ht="15" customHeight="1" x14ac:dyDescent="0.3">
      <c r="I22" s="129"/>
      <c r="J22" s="129"/>
      <c r="K22" s="129"/>
      <c r="L22" s="129"/>
      <c r="M22" s="129"/>
      <c r="N22" s="129"/>
      <c r="O22" s="129"/>
      <c r="P22" s="129"/>
      <c r="Q22" s="129"/>
    </row>
    <row r="23" spans="3:17" ht="19.95" customHeight="1" x14ac:dyDescent="0.3">
      <c r="I23" s="129"/>
      <c r="J23" s="129"/>
      <c r="K23" s="129"/>
      <c r="L23" s="129"/>
      <c r="M23" s="129"/>
      <c r="N23" s="129"/>
      <c r="O23" s="129"/>
      <c r="P23" s="129"/>
      <c r="Q23" s="129"/>
    </row>
    <row r="24" spans="3:17" ht="10.050000000000001" customHeight="1" x14ac:dyDescent="0.3">
      <c r="I24" s="45"/>
      <c r="J24" s="45"/>
      <c r="K24" s="45"/>
      <c r="L24" s="45"/>
      <c r="M24" s="45"/>
      <c r="N24" s="45"/>
      <c r="O24" s="45"/>
      <c r="P24" s="45"/>
      <c r="Q24" s="45"/>
    </row>
    <row r="25" spans="3:17" ht="15" customHeight="1" x14ac:dyDescent="0.3">
      <c r="C25" s="15"/>
      <c r="D25" s="15"/>
      <c r="E25" s="15"/>
      <c r="F25" s="15"/>
      <c r="I25" s="129" t="s">
        <v>67</v>
      </c>
      <c r="J25" s="129"/>
      <c r="K25" s="129"/>
      <c r="L25" s="129"/>
      <c r="M25" s="129"/>
      <c r="N25" s="129"/>
      <c r="O25" s="129"/>
      <c r="P25" s="129"/>
      <c r="Q25" s="129"/>
    </row>
    <row r="26" spans="3:17" ht="15" customHeight="1" x14ac:dyDescent="0.3">
      <c r="I26" s="129"/>
      <c r="J26" s="129"/>
      <c r="K26" s="129"/>
      <c r="L26" s="129"/>
      <c r="M26" s="129"/>
      <c r="N26" s="129"/>
      <c r="O26" s="129"/>
      <c r="P26" s="129"/>
      <c r="Q26" s="129"/>
    </row>
    <row r="27" spans="3:17" ht="10.050000000000001" customHeight="1" x14ac:dyDescent="0.3"/>
    <row r="28" spans="3:17" ht="19.95" customHeight="1" x14ac:dyDescent="0.3">
      <c r="C28" s="16" t="s">
        <v>21</v>
      </c>
      <c r="D28" s="16"/>
      <c r="E28" s="16"/>
      <c r="F28" s="16"/>
      <c r="I28" s="11" t="s">
        <v>250</v>
      </c>
    </row>
    <row r="29" spans="3:17" ht="10.050000000000001" customHeight="1" x14ac:dyDescent="0.3"/>
    <row r="30" spans="3:17" ht="19.95" customHeight="1" x14ac:dyDescent="0.3">
      <c r="C30" s="5" t="s">
        <v>22</v>
      </c>
      <c r="D30" s="5"/>
      <c r="E30" s="5"/>
      <c r="F30" s="5"/>
      <c r="I30" s="11" t="s">
        <v>44</v>
      </c>
    </row>
    <row r="31" spans="3:17" ht="10.050000000000001" customHeight="1" x14ac:dyDescent="0.3"/>
    <row r="32" spans="3:17" ht="19.95" customHeight="1" x14ac:dyDescent="0.3">
      <c r="C32" s="5" t="s">
        <v>14</v>
      </c>
      <c r="D32" s="5"/>
      <c r="E32" s="5"/>
      <c r="F32" s="5"/>
      <c r="I32" s="11" t="s">
        <v>68</v>
      </c>
    </row>
    <row r="33" spans="2:17" ht="10.050000000000001" customHeight="1" x14ac:dyDescent="0.3"/>
    <row r="34" spans="2:17" ht="19.95" customHeight="1" x14ac:dyDescent="0.3">
      <c r="B34" s="10">
        <f>B6+1</f>
        <v>3</v>
      </c>
      <c r="C34" s="11" t="s">
        <v>149</v>
      </c>
    </row>
    <row r="35" spans="2:17" ht="19.95" customHeight="1" x14ac:dyDescent="0.3">
      <c r="B35" s="10">
        <f>B34+1</f>
        <v>4</v>
      </c>
      <c r="C35" s="129" t="s">
        <v>148</v>
      </c>
      <c r="D35" s="129"/>
      <c r="E35" s="129"/>
      <c r="F35" s="129"/>
      <c r="G35" s="129"/>
      <c r="H35" s="129"/>
      <c r="I35" s="129"/>
      <c r="J35" s="129"/>
      <c r="K35" s="129"/>
      <c r="L35" s="129"/>
      <c r="M35" s="129"/>
      <c r="N35" s="129"/>
      <c r="O35" s="129"/>
      <c r="P35" s="129"/>
      <c r="Q35" s="129"/>
    </row>
    <row r="36" spans="2:17" ht="15" customHeight="1" x14ac:dyDescent="0.3">
      <c r="C36" s="129"/>
      <c r="D36" s="129"/>
      <c r="E36" s="129"/>
      <c r="F36" s="129"/>
      <c r="G36" s="129"/>
      <c r="H36" s="129"/>
      <c r="I36" s="129"/>
      <c r="J36" s="129"/>
      <c r="K36" s="129"/>
      <c r="L36" s="129"/>
      <c r="M36" s="129"/>
      <c r="N36" s="129"/>
      <c r="O36" s="129"/>
      <c r="P36" s="129"/>
      <c r="Q36" s="129"/>
    </row>
    <row r="37" spans="2:17" ht="19.95" customHeight="1" x14ac:dyDescent="0.3">
      <c r="B37" s="10">
        <v>5</v>
      </c>
      <c r="C37" s="130" t="s">
        <v>122</v>
      </c>
      <c r="D37" s="130"/>
      <c r="E37" s="130"/>
      <c r="F37" s="130"/>
      <c r="G37" s="130"/>
      <c r="H37" s="130"/>
      <c r="I37" s="130"/>
      <c r="J37" s="130"/>
      <c r="K37" s="130"/>
      <c r="L37" s="130"/>
      <c r="M37" s="130"/>
      <c r="N37" s="130"/>
      <c r="O37" s="130"/>
      <c r="P37" s="130"/>
      <c r="Q37" s="130"/>
    </row>
    <row r="38" spans="2:17" ht="19.95" customHeight="1" x14ac:dyDescent="0.3">
      <c r="C38" s="130"/>
      <c r="D38" s="130"/>
      <c r="E38" s="130"/>
      <c r="F38" s="130"/>
      <c r="G38" s="130"/>
      <c r="H38" s="130"/>
      <c r="I38" s="130"/>
      <c r="J38" s="130"/>
      <c r="K38" s="130"/>
      <c r="L38" s="130"/>
      <c r="M38" s="130"/>
      <c r="N38" s="130"/>
      <c r="O38" s="130"/>
      <c r="P38" s="130"/>
      <c r="Q38" s="130"/>
    </row>
    <row r="39" spans="2:17" ht="12" customHeight="1" x14ac:dyDescent="0.3">
      <c r="C39" s="130"/>
      <c r="D39" s="130"/>
      <c r="E39" s="130"/>
      <c r="F39" s="130"/>
      <c r="G39" s="130"/>
      <c r="H39" s="130"/>
      <c r="I39" s="130"/>
      <c r="J39" s="130"/>
      <c r="K39" s="130"/>
      <c r="L39" s="130"/>
      <c r="M39" s="130"/>
      <c r="N39" s="130"/>
      <c r="O39" s="130"/>
      <c r="P39" s="130"/>
      <c r="Q39" s="130"/>
    </row>
    <row r="40" spans="2:17" ht="19.95" customHeight="1" x14ac:dyDescent="0.3">
      <c r="B40" s="10">
        <v>6</v>
      </c>
      <c r="C40" s="11" t="s">
        <v>225</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hidden="1" customHeight="1" x14ac:dyDescent="0.3"/>
    <row r="50" ht="19.95" hidden="1" customHeight="1" x14ac:dyDescent="0.3"/>
    <row r="51" ht="19.95" hidden="1" customHeight="1" x14ac:dyDescent="0.3"/>
    <row r="52" ht="19.95" hidden="1" customHeight="1" x14ac:dyDescent="0.3"/>
    <row r="53" ht="19.95" hidden="1" customHeight="1" x14ac:dyDescent="0.3"/>
    <row r="54" ht="19.95" hidden="1" customHeight="1" x14ac:dyDescent="0.3"/>
    <row r="55" ht="19.95" hidden="1" customHeight="1" x14ac:dyDescent="0.3"/>
    <row r="56" ht="19.95" hidden="1" customHeight="1" x14ac:dyDescent="0.3"/>
    <row r="57" ht="19.95" hidden="1" customHeight="1" x14ac:dyDescent="0.3"/>
  </sheetData>
  <sheetProtection algorithmName="SHA-512" hashValue="KVRICPMDEtf8XUVegNwaZDTzfwpMViNjy2kkryc8JCnZzwtOgkchsHSWglcqn/G9IPdtDzgAkEddXir/6vveJw==" saltValue="xGjNpLzx4KuKlun0T28+HA=="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136" priority="5">
      <formula>ISBLANK(C17)</formula>
    </cfRule>
  </conditionalFormatting>
  <conditionalFormatting sqref="C9:F9">
    <cfRule type="expression" dxfId="135" priority="7">
      <formula>ISBLANK(C9)</formula>
    </cfRule>
  </conditionalFormatting>
  <conditionalFormatting sqref="F12">
    <cfRule type="expression" dxfId="134" priority="6">
      <formula>ISBLANK(F12)</formula>
    </cfRule>
  </conditionalFormatting>
  <conditionalFormatting sqref="F17">
    <cfRule type="expression" dxfId="133" priority="4">
      <formula>ISBLANK(F17)</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162D917-7866-44FE-9C56-CE5E13344695}">
          <x14:formula1>
            <xm:f>Tables!$H$2:$H$4</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W100"/>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3" customWidth="1"/>
    <col min="2" max="36" width="2.77734375" style="23" customWidth="1"/>
    <col min="37" max="37" width="1.77734375" style="23" customWidth="1"/>
    <col min="38" max="38" width="10.33203125" style="9" hidden="1" customWidth="1"/>
    <col min="39" max="39" width="7.21875" style="9" hidden="1" customWidth="1"/>
    <col min="40" max="41" width="8.77734375" style="9" hidden="1" customWidth="1"/>
    <col min="42" max="42" width="2.77734375" style="23" customWidth="1"/>
    <col min="43" max="43" width="3.77734375" style="23" customWidth="1"/>
    <col min="44" max="81" width="2.77734375" style="23" customWidth="1"/>
    <col min="82" max="84" width="2.77734375" style="23" hidden="1" customWidth="1"/>
    <col min="85" max="85" width="8.77734375" style="23" hidden="1" customWidth="1"/>
    <col min="86" max="101" width="0" style="23" hidden="1" customWidth="1"/>
    <col min="102" max="16384" width="8.88671875" style="23" hidden="1"/>
  </cols>
  <sheetData>
    <row r="1" spans="2:96" ht="15" customHeight="1" x14ac:dyDescent="0.3">
      <c r="O1" s="3"/>
      <c r="P1" s="3"/>
      <c r="Q1" s="3"/>
      <c r="S1" s="20"/>
      <c r="U1" s="20"/>
      <c r="V1" s="142" t="s">
        <v>151</v>
      </c>
      <c r="W1" s="142"/>
      <c r="X1" s="142"/>
      <c r="Y1" s="142"/>
      <c r="Z1" s="142"/>
      <c r="AA1" s="142"/>
      <c r="AB1" s="142"/>
      <c r="AC1" s="142"/>
      <c r="AD1" s="142"/>
      <c r="AE1" s="142"/>
      <c r="AF1" s="142"/>
      <c r="AG1" s="142"/>
      <c r="AH1" s="142"/>
      <c r="AI1" s="142"/>
      <c r="AJ1" s="142"/>
      <c r="AK1" s="142"/>
      <c r="AL1" s="54"/>
      <c r="AM1" s="54"/>
      <c r="AN1" s="54"/>
      <c r="AO1" s="54"/>
      <c r="AP1" s="20"/>
      <c r="BG1" s="20"/>
      <c r="BH1" s="142" t="str">
        <f>V1</f>
        <v>Form 2D - Bioretention Area
Design Form</v>
      </c>
      <c r="BI1" s="142"/>
      <c r="BJ1" s="142"/>
      <c r="BK1" s="142"/>
      <c r="BL1" s="142"/>
      <c r="BM1" s="142"/>
      <c r="BN1" s="142"/>
      <c r="BO1" s="142"/>
      <c r="BP1" s="142"/>
      <c r="BQ1" s="142"/>
      <c r="BR1" s="142"/>
      <c r="BS1" s="142"/>
      <c r="BT1" s="142"/>
      <c r="BU1" s="142"/>
      <c r="BV1" s="142"/>
      <c r="BW1" s="142"/>
      <c r="BX1" s="142"/>
      <c r="BY1" s="21"/>
      <c r="BZ1" s="21"/>
      <c r="CA1" s="21"/>
      <c r="CB1" s="21"/>
      <c r="CM1" s="55"/>
      <c r="CN1" s="55"/>
      <c r="CO1" s="55"/>
      <c r="CP1" s="55"/>
      <c r="CQ1" s="55"/>
      <c r="CR1" s="55"/>
    </row>
    <row r="2" spans="2:96" ht="15" customHeight="1" x14ac:dyDescent="0.3">
      <c r="J2" s="3"/>
      <c r="K2" s="3"/>
      <c r="L2" s="3"/>
      <c r="M2" s="3"/>
      <c r="N2" s="3"/>
      <c r="O2" s="3"/>
      <c r="P2" s="3"/>
      <c r="Q2" s="3"/>
      <c r="R2" s="20"/>
      <c r="S2" s="20"/>
      <c r="T2" s="20"/>
      <c r="U2" s="20"/>
      <c r="V2" s="142"/>
      <c r="W2" s="142"/>
      <c r="X2" s="142"/>
      <c r="Y2" s="142"/>
      <c r="Z2" s="142"/>
      <c r="AA2" s="142"/>
      <c r="AB2" s="142"/>
      <c r="AC2" s="142"/>
      <c r="AD2" s="142"/>
      <c r="AE2" s="142"/>
      <c r="AF2" s="142"/>
      <c r="AG2" s="142"/>
      <c r="AH2" s="142"/>
      <c r="AI2" s="142"/>
      <c r="AJ2" s="142"/>
      <c r="AK2" s="142"/>
      <c r="AL2" s="54"/>
      <c r="AM2" s="54"/>
      <c r="AN2" s="54"/>
      <c r="AO2" s="54"/>
      <c r="BF2" s="20"/>
      <c r="BG2" s="20"/>
      <c r="BH2" s="142"/>
      <c r="BI2" s="142"/>
      <c r="BJ2" s="142"/>
      <c r="BK2" s="142"/>
      <c r="BL2" s="142"/>
      <c r="BM2" s="142"/>
      <c r="BN2" s="142"/>
      <c r="BO2" s="142"/>
      <c r="BP2" s="142"/>
      <c r="BQ2" s="142"/>
      <c r="BR2" s="142"/>
      <c r="BS2" s="142"/>
      <c r="BT2" s="142"/>
      <c r="BU2" s="142"/>
      <c r="BV2" s="142"/>
      <c r="BW2" s="142"/>
      <c r="BX2" s="142"/>
      <c r="BY2" s="21"/>
      <c r="BZ2" s="21"/>
      <c r="CA2" s="21"/>
      <c r="CB2" s="21"/>
      <c r="CG2" s="55"/>
      <c r="CM2" s="55"/>
      <c r="CN2" s="55"/>
      <c r="CO2" s="55"/>
      <c r="CP2" s="55"/>
      <c r="CQ2" s="55"/>
      <c r="CR2" s="55"/>
    </row>
    <row r="3" spans="2:96" ht="15" customHeight="1" x14ac:dyDescent="0.3">
      <c r="J3" s="3"/>
      <c r="K3" s="3"/>
      <c r="L3" s="3"/>
      <c r="M3" s="3"/>
      <c r="N3" s="3"/>
      <c r="O3" s="3"/>
      <c r="P3" s="3"/>
      <c r="Q3" s="3"/>
      <c r="R3" s="20"/>
      <c r="S3" s="20"/>
      <c r="T3" s="20"/>
      <c r="U3" s="20"/>
      <c r="V3" s="142"/>
      <c r="W3" s="142"/>
      <c r="X3" s="142"/>
      <c r="Y3" s="142"/>
      <c r="Z3" s="142"/>
      <c r="AA3" s="142"/>
      <c r="AB3" s="142"/>
      <c r="AC3" s="142"/>
      <c r="AD3" s="142"/>
      <c r="AE3" s="142"/>
      <c r="AF3" s="142"/>
      <c r="AG3" s="142"/>
      <c r="AH3" s="142"/>
      <c r="AI3" s="142"/>
      <c r="AJ3" s="142"/>
      <c r="AK3" s="142"/>
      <c r="AL3" s="54"/>
      <c r="AM3" s="54"/>
      <c r="AN3" s="54"/>
      <c r="AO3" s="54"/>
      <c r="BF3" s="20"/>
      <c r="BG3" s="20"/>
      <c r="BH3" s="142"/>
      <c r="BI3" s="142"/>
      <c r="BJ3" s="142"/>
      <c r="BK3" s="142"/>
      <c r="BL3" s="142"/>
      <c r="BM3" s="142"/>
      <c r="BN3" s="142"/>
      <c r="BO3" s="142"/>
      <c r="BP3" s="142"/>
      <c r="BQ3" s="142"/>
      <c r="BR3" s="142"/>
      <c r="BS3" s="142"/>
      <c r="BT3" s="142"/>
      <c r="BU3" s="142"/>
      <c r="BV3" s="142"/>
      <c r="BW3" s="142"/>
      <c r="BX3" s="142"/>
      <c r="BY3" s="21"/>
      <c r="BZ3" s="21"/>
      <c r="CA3" s="21"/>
      <c r="CB3" s="21"/>
      <c r="CG3" s="55"/>
      <c r="CM3" s="55"/>
      <c r="CN3" s="55"/>
      <c r="CO3" s="55"/>
      <c r="CP3" s="55"/>
      <c r="CQ3" s="55"/>
      <c r="CR3" s="55"/>
    </row>
    <row r="4" spans="2:96" ht="15" customHeight="1" x14ac:dyDescent="0.3">
      <c r="J4" s="3"/>
      <c r="K4" s="3"/>
      <c r="T4" s="20"/>
      <c r="U4" s="20"/>
      <c r="V4" s="142"/>
      <c r="W4" s="142"/>
      <c r="X4" s="142"/>
      <c r="Y4" s="142"/>
      <c r="Z4" s="142"/>
      <c r="AA4" s="142"/>
      <c r="AB4" s="142"/>
      <c r="AC4" s="142"/>
      <c r="AD4" s="142"/>
      <c r="AE4" s="142"/>
      <c r="AF4" s="142"/>
      <c r="AG4" s="142"/>
      <c r="AH4" s="142"/>
      <c r="AI4" s="142"/>
      <c r="AJ4" s="142"/>
      <c r="AK4" s="142"/>
      <c r="AL4" s="54"/>
      <c r="AM4" s="54"/>
      <c r="AN4" s="54"/>
      <c r="AO4" s="54"/>
      <c r="BF4" s="20"/>
      <c r="BG4" s="20"/>
      <c r="BH4" s="142"/>
      <c r="BI4" s="142"/>
      <c r="BJ4" s="142"/>
      <c r="BK4" s="142"/>
      <c r="BL4" s="142"/>
      <c r="BM4" s="142"/>
      <c r="BN4" s="142"/>
      <c r="BO4" s="142"/>
      <c r="BP4" s="142"/>
      <c r="BQ4" s="142"/>
      <c r="BR4" s="142"/>
      <c r="BS4" s="142"/>
      <c r="BT4" s="142"/>
      <c r="BU4" s="142"/>
      <c r="BV4" s="142"/>
      <c r="BW4" s="142"/>
      <c r="BX4" s="142"/>
      <c r="BY4" s="21"/>
      <c r="BZ4" s="21"/>
      <c r="CA4" s="21"/>
      <c r="CB4" s="21"/>
      <c r="CG4" s="55"/>
      <c r="CM4" s="55"/>
      <c r="CN4" s="55"/>
      <c r="CO4" s="55"/>
      <c r="CP4" s="55"/>
      <c r="CQ4" s="55"/>
      <c r="CR4" s="55"/>
    </row>
    <row r="5" spans="2:96" ht="4.95" customHeight="1" x14ac:dyDescent="0.3">
      <c r="J5" s="3"/>
      <c r="K5" s="3"/>
      <c r="L5" s="3"/>
      <c r="M5" s="3"/>
      <c r="N5" s="3"/>
      <c r="O5" s="3"/>
      <c r="P5" s="3"/>
      <c r="Q5" s="3"/>
      <c r="R5" s="21"/>
      <c r="S5" s="21"/>
      <c r="T5" s="21"/>
      <c r="U5" s="21"/>
      <c r="V5" s="21"/>
      <c r="W5" s="21"/>
      <c r="X5" s="21"/>
      <c r="Y5" s="21"/>
      <c r="Z5" s="21"/>
      <c r="AA5" s="21"/>
      <c r="AB5" s="21"/>
      <c r="AC5" s="21"/>
      <c r="AD5" s="21"/>
      <c r="AE5" s="21"/>
      <c r="AF5" s="21"/>
      <c r="AG5" s="21"/>
      <c r="AH5" s="21"/>
      <c r="AI5" s="21"/>
      <c r="AJ5" s="21"/>
      <c r="AL5" s="54"/>
      <c r="AM5" s="54"/>
      <c r="AN5" s="54"/>
      <c r="AO5" s="54"/>
    </row>
    <row r="6" spans="2:96" ht="13.95" customHeight="1" x14ac:dyDescent="0.3">
      <c r="B6" s="1" t="s">
        <v>0</v>
      </c>
      <c r="C6" s="1"/>
      <c r="D6" s="1"/>
      <c r="E6" s="1"/>
      <c r="F6" s="1"/>
      <c r="G6" s="1"/>
      <c r="H6" s="1"/>
      <c r="I6" s="1"/>
      <c r="AB6" s="2" t="s">
        <v>299</v>
      </c>
      <c r="AC6" s="166"/>
      <c r="AD6" s="166"/>
      <c r="AE6" s="166"/>
      <c r="AF6" s="166"/>
      <c r="AG6" s="166"/>
      <c r="AH6" s="166"/>
      <c r="AI6" s="166"/>
      <c r="AJ6" s="166"/>
      <c r="AQ6" s="133" t="s">
        <v>43</v>
      </c>
      <c r="AR6" s="133"/>
      <c r="AS6" s="133"/>
      <c r="AT6" s="133"/>
      <c r="AU6" s="133"/>
      <c r="AV6" s="133"/>
      <c r="AW6" s="133"/>
      <c r="AX6" s="133"/>
      <c r="AY6" s="133"/>
      <c r="AZ6" s="133"/>
      <c r="BA6" s="133"/>
      <c r="BB6" s="133"/>
      <c r="BC6" s="133"/>
      <c r="BD6" s="133"/>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row>
    <row r="7" spans="2:96" ht="13.95" customHeight="1" x14ac:dyDescent="0.3">
      <c r="D7" s="2" t="s">
        <v>81</v>
      </c>
      <c r="E7" s="137"/>
      <c r="F7" s="137"/>
      <c r="G7" s="137"/>
      <c r="H7" s="137"/>
      <c r="I7" s="137"/>
      <c r="J7" s="137"/>
      <c r="K7" s="137"/>
      <c r="L7" s="137"/>
      <c r="M7" s="137"/>
      <c r="N7" s="137"/>
      <c r="O7" s="137"/>
      <c r="P7" s="137"/>
      <c r="Q7" s="137"/>
      <c r="R7" s="137"/>
      <c r="S7" s="137"/>
      <c r="T7" s="137"/>
      <c r="U7" s="137"/>
      <c r="V7" s="137"/>
      <c r="W7" s="137"/>
      <c r="X7" s="137"/>
      <c r="AD7" s="2" t="s">
        <v>12</v>
      </c>
      <c r="AE7" s="144"/>
      <c r="AF7" s="144"/>
      <c r="AG7" s="144"/>
      <c r="AH7" s="144"/>
      <c r="AI7" s="144"/>
      <c r="AJ7" s="144"/>
      <c r="AQ7" s="133"/>
      <c r="AR7" s="133"/>
      <c r="AS7" s="133"/>
      <c r="AT7" s="133"/>
      <c r="AU7" s="133"/>
      <c r="AV7" s="133"/>
      <c r="AW7" s="133"/>
      <c r="AX7" s="133"/>
      <c r="AY7" s="133"/>
      <c r="AZ7" s="133"/>
      <c r="BA7" s="133"/>
      <c r="BB7" s="133"/>
      <c r="BC7" s="133"/>
      <c r="BD7" s="133"/>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row>
    <row r="8" spans="2:96" ht="13.95" customHeight="1" x14ac:dyDescent="0.3">
      <c r="D8" s="2" t="s">
        <v>82</v>
      </c>
      <c r="E8" s="150"/>
      <c r="F8" s="150"/>
      <c r="G8" s="150"/>
      <c r="H8" s="150"/>
      <c r="I8" s="150"/>
      <c r="J8" s="150"/>
      <c r="K8" s="150"/>
      <c r="L8" s="150"/>
      <c r="M8" s="150"/>
      <c r="N8" s="150"/>
      <c r="O8" s="150"/>
      <c r="P8" s="150"/>
      <c r="Q8" s="150"/>
      <c r="R8" s="150"/>
      <c r="S8" s="150"/>
      <c r="T8" s="150"/>
      <c r="U8" s="150"/>
      <c r="V8" s="150"/>
      <c r="W8" s="150"/>
      <c r="X8" s="150"/>
      <c r="AD8" s="2" t="s">
        <v>23</v>
      </c>
      <c r="AE8" s="145"/>
      <c r="AF8" s="145"/>
      <c r="AG8" s="145"/>
      <c r="AH8" s="145"/>
      <c r="AI8" s="145"/>
      <c r="AJ8" s="145"/>
      <c r="AQ8" s="72" t="s">
        <v>69</v>
      </c>
      <c r="AU8" s="71"/>
      <c r="AV8" s="71"/>
      <c r="AW8" s="71"/>
      <c r="AX8" s="71"/>
      <c r="AY8" s="71"/>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row>
    <row r="9" spans="2:96"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56"/>
      <c r="AM9" s="56"/>
      <c r="AN9" s="56"/>
      <c r="AO9" s="56"/>
      <c r="AQ9" s="73">
        <v>1</v>
      </c>
      <c r="AR9" s="8" t="s">
        <v>257</v>
      </c>
      <c r="AU9" s="71"/>
      <c r="AV9" s="71"/>
      <c r="AW9" s="71"/>
      <c r="AX9" s="71"/>
      <c r="AY9" s="71"/>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row>
    <row r="10" spans="2:96" ht="15" customHeight="1" x14ac:dyDescent="0.3">
      <c r="E10" s="2" t="s">
        <v>114</v>
      </c>
      <c r="F10" s="120"/>
      <c r="G10" s="23" t="s">
        <v>76</v>
      </c>
      <c r="M10" s="120"/>
      <c r="N10" s="23" t="s">
        <v>77</v>
      </c>
      <c r="U10" s="120"/>
      <c r="V10" s="23" t="s">
        <v>78</v>
      </c>
      <c r="AQ10" s="73">
        <f>AQ9+1</f>
        <v>2</v>
      </c>
      <c r="AR10" s="71" t="s">
        <v>258</v>
      </c>
      <c r="AT10" s="71"/>
      <c r="AU10" s="71"/>
      <c r="AV10" s="71"/>
      <c r="AW10" s="71"/>
      <c r="AX10" s="71"/>
      <c r="AY10" s="71"/>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row>
    <row r="11" spans="2:96" ht="4.95" customHeight="1" x14ac:dyDescent="0.3">
      <c r="C11" s="2"/>
      <c r="D11" s="2"/>
      <c r="E11" s="2"/>
      <c r="F11" s="2"/>
      <c r="G11" s="2"/>
      <c r="H11" s="2"/>
      <c r="I11" s="2"/>
      <c r="AQ11" s="73"/>
      <c r="AS11" s="71"/>
      <c r="AT11" s="71"/>
      <c r="AU11" s="71"/>
      <c r="AV11" s="71"/>
      <c r="AW11" s="71"/>
      <c r="AX11" s="71"/>
      <c r="AY11" s="71"/>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row>
    <row r="12" spans="2:96" ht="15" customHeight="1" x14ac:dyDescent="0.3">
      <c r="C12" s="2"/>
      <c r="D12" s="2"/>
      <c r="E12" s="2"/>
      <c r="F12" s="120"/>
      <c r="G12" s="23" t="s">
        <v>124</v>
      </c>
      <c r="M12" s="120"/>
      <c r="N12" s="23" t="s">
        <v>152</v>
      </c>
      <c r="U12" s="120"/>
      <c r="V12" s="23" t="s">
        <v>125</v>
      </c>
      <c r="AR12" s="71" t="s">
        <v>405</v>
      </c>
      <c r="AW12" s="71"/>
      <c r="AX12" s="71"/>
      <c r="AY12" s="71"/>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row>
    <row r="13" spans="2:96" ht="15" customHeight="1" x14ac:dyDescent="0.3">
      <c r="D13" s="2"/>
      <c r="AL13" s="18"/>
      <c r="AM13" s="18"/>
      <c r="AN13" s="18"/>
      <c r="AO13" s="56" t="s">
        <v>293</v>
      </c>
      <c r="AQ13" s="73">
        <f>AQ10+1</f>
        <v>3</v>
      </c>
      <c r="AR13" s="23" t="s">
        <v>227</v>
      </c>
      <c r="AS13" s="71"/>
      <c r="AT13" s="71"/>
      <c r="AU13" s="71"/>
      <c r="AV13" s="71"/>
      <c r="AW13" s="71"/>
      <c r="AX13" s="71"/>
      <c r="AY13" s="71"/>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row>
    <row r="14" spans="2:96" ht="15" customHeight="1" x14ac:dyDescent="0.3">
      <c r="B14" s="1" t="s">
        <v>400</v>
      </c>
      <c r="D14" s="2"/>
      <c r="R14" s="2" t="s">
        <v>287</v>
      </c>
      <c r="S14" s="120"/>
      <c r="T14" s="8" t="s">
        <v>263</v>
      </c>
      <c r="V14" s="120"/>
      <c r="W14" s="8" t="s">
        <v>264</v>
      </c>
      <c r="AD14" s="2" t="s">
        <v>288</v>
      </c>
      <c r="AE14" s="162"/>
      <c r="AF14" s="162"/>
      <c r="AG14" s="162"/>
      <c r="AH14" s="162"/>
      <c r="AI14" s="161" t="str">
        <f>IF($AO$14=0,"Units?",IF($AO$14=1,"ac",IF($AO$14=2,"sq-ft","Error")))</f>
        <v>Units?</v>
      </c>
      <c r="AJ14" s="161"/>
      <c r="AL14" s="77">
        <f>IF(AND(ISBLANK(S14),ISBLANK(V14)),1,2)</f>
        <v>1</v>
      </c>
      <c r="AM14" s="77">
        <f>IF(ISBLANK(S14),0,1)</f>
        <v>0</v>
      </c>
      <c r="AN14" s="77">
        <f>IF(ISBLANK(V14),0,2)</f>
        <v>0</v>
      </c>
      <c r="AO14" s="77">
        <f>SUM(AM14:AN14)</f>
        <v>0</v>
      </c>
      <c r="AQ14" s="73"/>
      <c r="AR14" s="23" t="s">
        <v>406</v>
      </c>
      <c r="AS14" s="71"/>
      <c r="AT14" s="71"/>
      <c r="AU14" s="71"/>
      <c r="AV14" s="71"/>
      <c r="AW14" s="71"/>
      <c r="AX14" s="71"/>
      <c r="AY14" s="71"/>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row>
    <row r="15" spans="2:96" ht="13.95" customHeight="1" x14ac:dyDescent="0.3">
      <c r="B15" s="23" t="s">
        <v>2</v>
      </c>
      <c r="Y15" s="2" t="s">
        <v>291</v>
      </c>
      <c r="Z15" s="164"/>
      <c r="AA15" s="164"/>
      <c r="AB15" s="164"/>
      <c r="AC15" s="164"/>
      <c r="AD15" s="161" t="str">
        <f>IF($AO$14=0,"Units?",IF($AO$14=1,"ac",IF($AO$14=2,"sq-ft","Error")))</f>
        <v>Units?</v>
      </c>
      <c r="AE15" s="161"/>
      <c r="AM15" s="18"/>
      <c r="AR15" s="4" t="s">
        <v>50</v>
      </c>
      <c r="AS15" s="23" t="s">
        <v>172</v>
      </c>
      <c r="AU15" s="71"/>
      <c r="AV15" s="71"/>
      <c r="AW15" s="71"/>
      <c r="AX15" s="71"/>
      <c r="AY15" s="71"/>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row>
    <row r="16" spans="2:96" ht="13.95" customHeight="1" x14ac:dyDescent="0.3">
      <c r="D16" s="2"/>
      <c r="E16" s="2"/>
      <c r="F16" s="2"/>
      <c r="G16" s="2"/>
      <c r="I16" s="2" t="s">
        <v>115</v>
      </c>
      <c r="J16" s="162"/>
      <c r="K16" s="162"/>
      <c r="L16" s="162"/>
      <c r="M16" s="162"/>
      <c r="N16" s="161" t="str">
        <f t="shared" ref="N16:N21" si="0">IF($AO$14=0,"Units?",IF($AO$14=1,"ac",IF($AO$14=2,"sq-ft","Error")))</f>
        <v>Units?</v>
      </c>
      <c r="O16" s="161"/>
      <c r="S16" s="23" t="s">
        <v>32</v>
      </c>
      <c r="AM16" s="18"/>
      <c r="AR16" s="73" t="s">
        <v>51</v>
      </c>
      <c r="AS16" s="23" t="s">
        <v>228</v>
      </c>
      <c r="AT16" s="71"/>
      <c r="AU16" s="71"/>
      <c r="AV16" s="71"/>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row>
    <row r="17" spans="2:82" ht="13.95" customHeight="1" x14ac:dyDescent="0.3">
      <c r="D17" s="2"/>
      <c r="E17" s="2"/>
      <c r="F17" s="2"/>
      <c r="G17" s="2"/>
      <c r="I17" s="2" t="s">
        <v>116</v>
      </c>
      <c r="J17" s="146"/>
      <c r="K17" s="146"/>
      <c r="L17" s="146"/>
      <c r="M17" s="146"/>
      <c r="N17" s="161" t="str">
        <f t="shared" si="0"/>
        <v>Units?</v>
      </c>
      <c r="O17" s="161"/>
      <c r="V17" s="2" t="s">
        <v>33</v>
      </c>
      <c r="W17" s="165">
        <f>IF(AL17=1,"0.00",IFERROR(IF($J$21-$Z$15&lt;0,0,$J$21-$Z$15),""))</f>
        <v>0</v>
      </c>
      <c r="X17" s="165"/>
      <c r="Y17" s="165"/>
      <c r="Z17" s="165"/>
      <c r="AA17" s="161" t="str">
        <f>IF($AO$14=0,"Units?",IF($AO$14=1,"ac",IF($AO$14=2,"sq-ft","Error")))</f>
        <v>Units?</v>
      </c>
      <c r="AB17" s="161"/>
      <c r="AD17" s="2" t="s">
        <v>33</v>
      </c>
      <c r="AE17" s="163">
        <f>AM20</f>
        <v>0</v>
      </c>
      <c r="AF17" s="163"/>
      <c r="AG17" s="163"/>
      <c r="AH17" s="163"/>
      <c r="AI17" s="161" t="s">
        <v>290</v>
      </c>
      <c r="AJ17" s="161"/>
      <c r="AL17" s="77">
        <f>IF(AND(J21=0,ISBLANK(Z15)),0,IF(OR(J21-Z15=0,J21-Z15&lt;0),1,2))</f>
        <v>0</v>
      </c>
      <c r="AM17" s="9" t="s">
        <v>295</v>
      </c>
      <c r="AS17" s="23" t="s">
        <v>229</v>
      </c>
      <c r="AT17" s="71"/>
      <c r="AU17" s="71"/>
      <c r="AV17" s="71"/>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row>
    <row r="18" spans="2:82" ht="13.95" customHeight="1" x14ac:dyDescent="0.3">
      <c r="D18" s="2"/>
      <c r="E18" s="2"/>
      <c r="F18" s="2"/>
      <c r="G18" s="2"/>
      <c r="I18" s="2" t="s">
        <v>117</v>
      </c>
      <c r="J18" s="146"/>
      <c r="K18" s="146"/>
      <c r="L18" s="146"/>
      <c r="M18" s="146"/>
      <c r="N18" s="161" t="str">
        <f t="shared" si="0"/>
        <v>Units?</v>
      </c>
      <c r="O18" s="161"/>
      <c r="S18" s="23" t="s">
        <v>24</v>
      </c>
      <c r="AL18" s="56" t="s">
        <v>289</v>
      </c>
      <c r="AM18" s="87">
        <f>IF($AO$14=2,Z15/43560,Z15)</f>
        <v>0</v>
      </c>
      <c r="AN18" s="9" t="s">
        <v>290</v>
      </c>
      <c r="AQ18" s="73"/>
      <c r="AR18" s="73" t="s">
        <v>62</v>
      </c>
      <c r="AS18" s="23" t="s">
        <v>173</v>
      </c>
      <c r="AU18" s="71"/>
      <c r="AV18" s="71"/>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row>
    <row r="19" spans="2:82" ht="13.95" customHeight="1" x14ac:dyDescent="0.3">
      <c r="D19" s="2"/>
      <c r="E19" s="2"/>
      <c r="F19" s="2"/>
      <c r="G19" s="2"/>
      <c r="I19" s="2" t="s">
        <v>118</v>
      </c>
      <c r="J19" s="146"/>
      <c r="K19" s="146"/>
      <c r="L19" s="146"/>
      <c r="M19" s="146"/>
      <c r="N19" s="161" t="str">
        <f t="shared" si="0"/>
        <v>Units?</v>
      </c>
      <c r="O19" s="161"/>
      <c r="V19" s="2" t="s">
        <v>26</v>
      </c>
      <c r="W19" s="23" t="str">
        <f>"AIA acres X "&amp;Tables!G15&amp; " in X 3,630"</f>
        <v>AIA acres X 1.10 in X 3,630</v>
      </c>
      <c r="AL19" s="56" t="s">
        <v>292</v>
      </c>
      <c r="AM19" s="87">
        <f>IF($AO$14=2,J21/43560,J21)</f>
        <v>0</v>
      </c>
      <c r="AN19" s="9" t="s">
        <v>290</v>
      </c>
      <c r="AR19" s="73" t="s">
        <v>63</v>
      </c>
      <c r="AS19" s="23" t="s">
        <v>174</v>
      </c>
      <c r="AU19" s="71"/>
      <c r="AV19" s="71"/>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row>
    <row r="20" spans="2:82" ht="13.95" customHeight="1" thickBot="1" x14ac:dyDescent="0.35">
      <c r="D20" s="2"/>
      <c r="E20" s="2"/>
      <c r="F20" s="2"/>
      <c r="G20" s="2"/>
      <c r="I20" s="2" t="s">
        <v>119</v>
      </c>
      <c r="J20" s="168"/>
      <c r="K20" s="168"/>
      <c r="L20" s="168"/>
      <c r="M20" s="168"/>
      <c r="N20" s="161" t="str">
        <f t="shared" si="0"/>
        <v>Units?</v>
      </c>
      <c r="O20" s="161"/>
      <c r="V20" s="2" t="s">
        <v>26</v>
      </c>
      <c r="W20" s="163">
        <f>IF(AL17=1,"0.00",IFERROR(IF($J$21-$Z$15&lt;0,0,$AM$20),""))</f>
        <v>0</v>
      </c>
      <c r="X20" s="163"/>
      <c r="Y20" s="163"/>
      <c r="Z20" s="163"/>
      <c r="AA20" s="23" t="str">
        <f>"acres X "&amp;Tables!G15&amp;" in X 3,630"</f>
        <v>acres X 1.10 in X 3,630</v>
      </c>
      <c r="AL20" s="56" t="s">
        <v>294</v>
      </c>
      <c r="AM20" s="87">
        <f>AM19-AM18</f>
        <v>0</v>
      </c>
      <c r="AN20" s="9" t="s">
        <v>290</v>
      </c>
      <c r="AR20" s="73" t="s">
        <v>61</v>
      </c>
      <c r="AS20" s="23" t="s">
        <v>175</v>
      </c>
      <c r="AV20" s="71"/>
      <c r="AW20" s="71"/>
      <c r="AX20" s="71"/>
      <c r="AY20" s="71"/>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row>
    <row r="21" spans="2:82" ht="13.95" customHeight="1" thickTop="1" x14ac:dyDescent="0.3">
      <c r="D21" s="2"/>
      <c r="E21" s="2"/>
      <c r="F21" s="2"/>
      <c r="G21" s="2"/>
      <c r="I21" s="2" t="s">
        <v>120</v>
      </c>
      <c r="J21" s="165">
        <f>IF(SUM($J$16:$J$20)=0,0,SUM($J$16:$J$20))</f>
        <v>0</v>
      </c>
      <c r="K21" s="165"/>
      <c r="L21" s="165"/>
      <c r="M21" s="165"/>
      <c r="N21" s="161" t="str">
        <f t="shared" si="0"/>
        <v>Units?</v>
      </c>
      <c r="O21" s="161"/>
      <c r="V21" s="2" t="s">
        <v>26</v>
      </c>
      <c r="W21" s="167">
        <f>IF(AL17=1,"0",IFERROR(ROUND(IF(AM20*Tables!F15*3630&lt;0,0,AM20*Tables!F15*3630),0),""))</f>
        <v>0</v>
      </c>
      <c r="X21" s="167"/>
      <c r="Y21" s="167"/>
      <c r="Z21" s="167"/>
      <c r="AA21" s="23" t="s">
        <v>25</v>
      </c>
      <c r="AR21" s="73" t="s">
        <v>64</v>
      </c>
      <c r="AS21" s="23" t="s">
        <v>230</v>
      </c>
      <c r="AW21" s="71"/>
      <c r="AX21" s="71"/>
      <c r="AY21" s="71"/>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row>
    <row r="22" spans="2:82" ht="15" customHeight="1" x14ac:dyDescent="0.3">
      <c r="AS22" s="23" t="s">
        <v>231</v>
      </c>
      <c r="AW22" s="71"/>
      <c r="AX22" s="71"/>
      <c r="AY22" s="71"/>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row>
    <row r="23" spans="2:82" ht="15" customHeight="1" x14ac:dyDescent="0.3">
      <c r="B23" s="1" t="s">
        <v>364</v>
      </c>
      <c r="C23" s="1"/>
      <c r="D23" s="1"/>
      <c r="E23" s="1"/>
      <c r="F23" s="1"/>
      <c r="G23" s="1"/>
      <c r="H23" s="1"/>
      <c r="K23" s="2"/>
      <c r="L23" s="2"/>
      <c r="M23" s="2"/>
      <c r="N23" s="2"/>
      <c r="O23" s="2"/>
      <c r="P23" s="2"/>
      <c r="Q23" s="2"/>
      <c r="R23" s="2"/>
      <c r="S23" s="2"/>
      <c r="T23" s="2"/>
      <c r="U23" s="2"/>
      <c r="V23" s="2"/>
      <c r="W23" s="2" t="s">
        <v>126</v>
      </c>
      <c r="Y23" s="120"/>
      <c r="Z23" s="23" t="s">
        <v>127</v>
      </c>
      <c r="AB23" s="120"/>
      <c r="AC23" s="23" t="s">
        <v>128</v>
      </c>
      <c r="AE23" s="120"/>
      <c r="AF23" s="23" t="s">
        <v>129</v>
      </c>
      <c r="AH23" s="120"/>
      <c r="AI23" s="23" t="s">
        <v>130</v>
      </c>
      <c r="AK23" s="2"/>
      <c r="AL23" s="77">
        <f>IF(AND(ISBLANK(Y23),ISBLANK(AB23),ISBLANK(AE23),ISBLANK(AH23)),1,2)</f>
        <v>1</v>
      </c>
      <c r="AM23" s="56"/>
      <c r="AN23" s="56"/>
      <c r="AO23" s="56"/>
      <c r="AR23" s="73" t="s">
        <v>176</v>
      </c>
      <c r="AS23" s="23" t="s">
        <v>177</v>
      </c>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row>
    <row r="24" spans="2:82" ht="4.95" customHeight="1" x14ac:dyDescent="0.3">
      <c r="AK24" s="2"/>
      <c r="AL24" s="56"/>
      <c r="AN24" s="56"/>
      <c r="AO24" s="56"/>
    </row>
    <row r="25" spans="2:82" ht="15" customHeight="1" x14ac:dyDescent="0.3">
      <c r="K25" s="2" t="s">
        <v>132</v>
      </c>
      <c r="L25" s="134"/>
      <c r="M25" s="134"/>
      <c r="N25" s="134"/>
      <c r="O25" s="23" t="s">
        <v>133</v>
      </c>
      <c r="X25" s="2" t="s">
        <v>194</v>
      </c>
      <c r="Y25" s="120"/>
      <c r="Z25" s="23" t="s">
        <v>74</v>
      </c>
      <c r="AA25" s="2"/>
      <c r="AB25" s="120"/>
      <c r="AC25" s="23" t="s">
        <v>75</v>
      </c>
      <c r="AK25" s="2"/>
      <c r="AL25" s="77">
        <f>IF(AND(ISBLANK(Y25),ISBLANK(AB25)),1,2)</f>
        <v>1</v>
      </c>
      <c r="AN25" s="56"/>
      <c r="AO25" s="56"/>
      <c r="AR25" s="73" t="s">
        <v>178</v>
      </c>
      <c r="AS25" s="23" t="s">
        <v>232</v>
      </c>
      <c r="AV25" s="71"/>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row>
    <row r="26" spans="2:82" ht="4.95" customHeight="1" x14ac:dyDescent="0.3">
      <c r="AK26" s="2"/>
      <c r="AN26" s="56"/>
      <c r="AO26" s="56"/>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row>
    <row r="27" spans="2:82" ht="15" customHeight="1" x14ac:dyDescent="0.3">
      <c r="G27" s="2" t="s">
        <v>154</v>
      </c>
      <c r="H27" s="134"/>
      <c r="I27" s="134"/>
      <c r="J27" s="134"/>
      <c r="K27" s="161" t="str">
        <f>IF($AO$14=0,"Units?",IF($AO$14=1,"ac",IF($AO$14=2,"sq-ft","Error")))</f>
        <v>Units?</v>
      </c>
      <c r="L27" s="161"/>
      <c r="T27" s="2" t="s">
        <v>131</v>
      </c>
      <c r="U27" s="134"/>
      <c r="V27" s="134"/>
      <c r="W27" s="134"/>
      <c r="X27" s="23" t="s">
        <v>29</v>
      </c>
      <c r="AE27" s="2" t="s">
        <v>155</v>
      </c>
      <c r="AF27" s="134"/>
      <c r="AG27" s="134"/>
      <c r="AH27" s="134"/>
      <c r="AI27" s="23" t="s">
        <v>156</v>
      </c>
      <c r="AK27" s="2"/>
      <c r="AL27" s="124">
        <f>IF(AO14=2,H27/43560,H27)</f>
        <v>0</v>
      </c>
      <c r="AM27" s="9" t="s">
        <v>290</v>
      </c>
      <c r="AN27" s="56"/>
      <c r="AO27" s="56"/>
      <c r="AS27" s="23" t="s">
        <v>233</v>
      </c>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row>
    <row r="28" spans="2:82" ht="4.95" customHeight="1" x14ac:dyDescent="0.3">
      <c r="K28" s="2"/>
      <c r="O28" s="2"/>
      <c r="W28" s="2"/>
      <c r="AE28" s="2"/>
      <c r="AK28" s="2"/>
      <c r="AN28" s="56"/>
      <c r="AO28" s="56"/>
    </row>
    <row r="29" spans="2:82" ht="15" customHeight="1" x14ac:dyDescent="0.3">
      <c r="G29" s="2" t="s">
        <v>135</v>
      </c>
      <c r="H29" s="120"/>
      <c r="I29" s="23" t="s">
        <v>74</v>
      </c>
      <c r="J29" s="2"/>
      <c r="K29" s="120"/>
      <c r="L29" s="23" t="s">
        <v>75</v>
      </c>
      <c r="O29" s="2" t="s">
        <v>134</v>
      </c>
      <c r="P29" s="137"/>
      <c r="Q29" s="137"/>
      <c r="R29" s="137"/>
      <c r="S29" s="137"/>
      <c r="T29" s="137"/>
      <c r="AK29" s="2"/>
      <c r="AL29" s="77">
        <f>IF(AND(ISBLANK(H29),ISBLANK(K29)),1,2)</f>
        <v>1</v>
      </c>
      <c r="AM29" s="77">
        <f>IF(ISBLANK(H29),1,2)</f>
        <v>1</v>
      </c>
      <c r="AN29" s="56"/>
      <c r="AO29" s="56"/>
      <c r="AR29" s="73" t="s">
        <v>179</v>
      </c>
      <c r="AS29" s="23" t="s">
        <v>234</v>
      </c>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row>
    <row r="30" spans="2:82" ht="15" customHeight="1" x14ac:dyDescent="0.3">
      <c r="G30" s="2"/>
      <c r="H30" s="2"/>
      <c r="I30" s="2"/>
      <c r="J30" s="2"/>
      <c r="K30" s="2"/>
      <c r="L30" s="2"/>
      <c r="W30" s="2"/>
      <c r="X30" s="2"/>
      <c r="Y30" s="2"/>
      <c r="AK30" s="2"/>
      <c r="AN30" s="56"/>
      <c r="AO30" s="56"/>
      <c r="AS30" s="23" t="s">
        <v>235</v>
      </c>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row>
    <row r="31" spans="2:82" ht="14.55" customHeight="1" x14ac:dyDescent="0.3">
      <c r="C31" s="58" t="s">
        <v>144</v>
      </c>
      <c r="N31" s="4" t="s">
        <v>136</v>
      </c>
      <c r="R31" s="132" t="s">
        <v>137</v>
      </c>
      <c r="S31" s="132"/>
      <c r="T31" s="132"/>
      <c r="W31" s="132" t="s">
        <v>138</v>
      </c>
      <c r="X31" s="132"/>
      <c r="Y31" s="132"/>
      <c r="AE31" s="2" t="s">
        <v>404</v>
      </c>
      <c r="AF31" s="143"/>
      <c r="AG31" s="143"/>
      <c r="AH31" s="143"/>
      <c r="AI31" s="23" t="s">
        <v>25</v>
      </c>
      <c r="AN31" s="56"/>
      <c r="AO31" s="56"/>
      <c r="AQ31" s="73">
        <f>AQ13+1</f>
        <v>4</v>
      </c>
      <c r="AR31" s="74" t="s">
        <v>180</v>
      </c>
      <c r="AU31" s="59"/>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row>
    <row r="32" spans="2:82" ht="14.55" customHeight="1" x14ac:dyDescent="0.3">
      <c r="L32" s="2" t="s">
        <v>158</v>
      </c>
      <c r="M32" s="134"/>
      <c r="N32" s="134"/>
      <c r="O32" s="134"/>
      <c r="P32" s="23" t="s">
        <v>28</v>
      </c>
      <c r="R32" s="134"/>
      <c r="S32" s="134"/>
      <c r="T32" s="134"/>
      <c r="U32" s="23" t="s">
        <v>29</v>
      </c>
      <c r="W32" s="134"/>
      <c r="X32" s="134"/>
      <c r="Y32" s="134"/>
      <c r="Z32" s="23" t="s">
        <v>29</v>
      </c>
      <c r="AN32" s="56"/>
      <c r="AO32" s="56"/>
      <c r="AR32" s="73" t="s">
        <v>50</v>
      </c>
      <c r="AS32" s="23" t="s">
        <v>181</v>
      </c>
      <c r="AU32" s="59"/>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row>
    <row r="33" spans="3:85" ht="14.55" customHeight="1" x14ac:dyDescent="0.3">
      <c r="L33" s="2" t="s">
        <v>159</v>
      </c>
      <c r="M33" s="135"/>
      <c r="N33" s="135"/>
      <c r="O33" s="135"/>
      <c r="P33" s="23" t="s">
        <v>28</v>
      </c>
      <c r="R33" s="135"/>
      <c r="S33" s="135"/>
      <c r="T33" s="135"/>
      <c r="U33" s="23" t="s">
        <v>29</v>
      </c>
      <c r="W33" s="135"/>
      <c r="X33" s="135"/>
      <c r="Y33" s="135"/>
      <c r="Z33" s="23" t="s">
        <v>29</v>
      </c>
      <c r="AN33" s="56"/>
      <c r="AO33" s="56"/>
      <c r="AR33" s="73" t="s">
        <v>51</v>
      </c>
      <c r="AS33" s="23" t="s">
        <v>182</v>
      </c>
      <c r="AU33" s="59"/>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row>
    <row r="34" spans="3:85" ht="14.55" customHeight="1" x14ac:dyDescent="0.3">
      <c r="L34" s="2" t="s">
        <v>399</v>
      </c>
      <c r="M34" s="135"/>
      <c r="N34" s="135"/>
      <c r="O34" s="135"/>
      <c r="P34" s="23" t="s">
        <v>28</v>
      </c>
      <c r="R34" s="135"/>
      <c r="S34" s="135"/>
      <c r="T34" s="135"/>
      <c r="U34" s="23" t="s">
        <v>29</v>
      </c>
      <c r="W34" s="135"/>
      <c r="X34" s="135"/>
      <c r="Y34" s="135"/>
      <c r="Z34" s="23" t="s">
        <v>29</v>
      </c>
      <c r="AN34" s="56"/>
      <c r="AO34" s="56"/>
      <c r="AR34" s="73" t="s">
        <v>62</v>
      </c>
      <c r="AS34" s="23" t="s">
        <v>183</v>
      </c>
      <c r="AU34" s="59"/>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row>
    <row r="35" spans="3:85" ht="14.55" customHeight="1" x14ac:dyDescent="0.3">
      <c r="L35" s="2" t="s">
        <v>160</v>
      </c>
      <c r="M35" s="135"/>
      <c r="N35" s="135"/>
      <c r="O35" s="135"/>
      <c r="P35" s="23" t="s">
        <v>28</v>
      </c>
      <c r="R35" s="135"/>
      <c r="S35" s="135"/>
      <c r="T35" s="135"/>
      <c r="U35" s="23" t="s">
        <v>29</v>
      </c>
      <c r="W35" s="135"/>
      <c r="X35" s="135"/>
      <c r="Y35" s="135"/>
      <c r="Z35" s="23" t="s">
        <v>29</v>
      </c>
      <c r="AN35" s="56"/>
      <c r="AO35" s="56"/>
      <c r="AQ35" s="19"/>
      <c r="AR35" s="73" t="s">
        <v>63</v>
      </c>
      <c r="AS35" s="23" t="s">
        <v>184</v>
      </c>
      <c r="AU35" s="59"/>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row>
    <row r="36" spans="3:85" ht="15" customHeight="1" x14ac:dyDescent="0.3">
      <c r="L36" s="2"/>
      <c r="M36" s="64"/>
      <c r="N36" s="64"/>
      <c r="O36" s="64"/>
      <c r="R36" s="24"/>
      <c r="S36" s="24"/>
      <c r="T36" s="24"/>
      <c r="W36" s="24"/>
      <c r="X36" s="24"/>
      <c r="Y36" s="24"/>
      <c r="AN36" s="56"/>
      <c r="AO36" s="56"/>
      <c r="AR36" s="73" t="s">
        <v>61</v>
      </c>
      <c r="AS36" s="23" t="s">
        <v>185</v>
      </c>
      <c r="AU36" s="59"/>
      <c r="AW36" s="73"/>
      <c r="AX36" s="73"/>
      <c r="AY36" s="73"/>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row>
    <row r="37" spans="3:85" ht="14.55" customHeight="1" x14ac:dyDescent="0.3">
      <c r="C37" s="58" t="s">
        <v>141</v>
      </c>
      <c r="L37" s="2" t="s">
        <v>104</v>
      </c>
      <c r="M37" s="137"/>
      <c r="N37" s="137"/>
      <c r="O37" s="137"/>
      <c r="P37" s="137"/>
      <c r="AC37" s="120"/>
      <c r="AD37" s="23" t="s">
        <v>145</v>
      </c>
      <c r="AL37" s="77">
        <f>IF(ISBLANK(M37),1,2)</f>
        <v>1</v>
      </c>
      <c r="AM37" s="77">
        <f>IF(ISBLANK(AC37),1,2)</f>
        <v>1</v>
      </c>
      <c r="AN37" s="56"/>
      <c r="AO37" s="56"/>
      <c r="AR37" s="73" t="s">
        <v>64</v>
      </c>
      <c r="AS37" s="23" t="s">
        <v>186</v>
      </c>
      <c r="AU37" s="59"/>
      <c r="AW37" s="73"/>
      <c r="AX37" s="73"/>
      <c r="AY37" s="73"/>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row>
    <row r="38" spans="3:85" ht="14.55" customHeight="1" x14ac:dyDescent="0.3">
      <c r="L38" s="2" t="s">
        <v>143</v>
      </c>
      <c r="M38" s="135"/>
      <c r="N38" s="135"/>
      <c r="O38" s="135"/>
      <c r="P38" s="23" t="s">
        <v>29</v>
      </c>
      <c r="V38" s="2" t="s">
        <v>103</v>
      </c>
      <c r="W38" s="134"/>
      <c r="X38" s="134"/>
      <c r="Y38" s="134"/>
      <c r="Z38" s="23" t="s">
        <v>28</v>
      </c>
      <c r="AN38" s="56"/>
      <c r="AO38" s="56"/>
      <c r="AR38" s="73" t="s">
        <v>176</v>
      </c>
      <c r="AS38" s="23" t="s">
        <v>187</v>
      </c>
      <c r="AU38" s="59"/>
      <c r="AW38" s="73"/>
      <c r="AX38" s="73"/>
      <c r="AY38" s="73"/>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row>
    <row r="39" spans="3:85" ht="14.55" customHeight="1" x14ac:dyDescent="0.3">
      <c r="L39" s="2" t="s">
        <v>142</v>
      </c>
      <c r="M39" s="135"/>
      <c r="N39" s="135"/>
      <c r="O39" s="135"/>
      <c r="P39" s="23" t="s">
        <v>29</v>
      </c>
      <c r="V39" s="2" t="s">
        <v>103</v>
      </c>
      <c r="W39" s="135"/>
      <c r="X39" s="135"/>
      <c r="Y39" s="135"/>
      <c r="Z39" s="23" t="s">
        <v>28</v>
      </c>
      <c r="AN39" s="56"/>
      <c r="AO39" s="56"/>
      <c r="AR39" s="73" t="s">
        <v>178</v>
      </c>
      <c r="AS39" s="23" t="s">
        <v>188</v>
      </c>
      <c r="AU39" s="59"/>
      <c r="AW39" s="73"/>
      <c r="AX39" s="73"/>
      <c r="AY39" s="73"/>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row>
    <row r="40" spans="3:85" ht="15" customHeight="1" x14ac:dyDescent="0.3">
      <c r="AN40" s="56"/>
      <c r="AO40" s="56"/>
      <c r="AR40" s="73" t="s">
        <v>179</v>
      </c>
      <c r="AS40" s="23" t="s">
        <v>189</v>
      </c>
      <c r="AU40" s="59"/>
      <c r="AW40" s="73"/>
      <c r="AX40" s="73"/>
      <c r="AY40" s="73"/>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22"/>
    </row>
    <row r="41" spans="3:85" ht="14.55" customHeight="1" x14ac:dyDescent="0.3">
      <c r="C41" s="58" t="s">
        <v>157</v>
      </c>
      <c r="L41" s="2" t="s">
        <v>104</v>
      </c>
      <c r="M41" s="137"/>
      <c r="N41" s="137"/>
      <c r="O41" s="137"/>
      <c r="P41" s="137"/>
      <c r="AC41" s="120"/>
      <c r="AD41" s="23" t="s">
        <v>169</v>
      </c>
      <c r="AL41" s="77">
        <f>IF(ISBLANK(M41),1,2)</f>
        <v>1</v>
      </c>
      <c r="AM41" s="77">
        <f>IF(ISBLANK(AC41),1,2)</f>
        <v>1</v>
      </c>
      <c r="AN41" s="56"/>
      <c r="AO41" s="56"/>
      <c r="AR41" s="73" t="s">
        <v>192</v>
      </c>
      <c r="AS41" s="23" t="s">
        <v>190</v>
      </c>
      <c r="AU41" s="59"/>
      <c r="AV41" s="73"/>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22"/>
    </row>
    <row r="42" spans="3:85" ht="14.55" customHeight="1" x14ac:dyDescent="0.3">
      <c r="L42" s="2" t="s">
        <v>103</v>
      </c>
      <c r="M42" s="135"/>
      <c r="N42" s="135"/>
      <c r="O42" s="135"/>
      <c r="P42" s="23" t="s">
        <v>28</v>
      </c>
      <c r="V42" s="2" t="s">
        <v>168</v>
      </c>
      <c r="W42" s="136"/>
      <c r="X42" s="136"/>
      <c r="Y42" s="136"/>
      <c r="Z42" s="23" t="s">
        <v>139</v>
      </c>
      <c r="AN42" s="56"/>
      <c r="AO42" s="56"/>
      <c r="AR42" s="73" t="s">
        <v>193</v>
      </c>
      <c r="AS42" s="23" t="s">
        <v>191</v>
      </c>
      <c r="AU42" s="59"/>
      <c r="AV42" s="73"/>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22"/>
    </row>
    <row r="43" spans="3:85" ht="15" customHeight="1" x14ac:dyDescent="0.3">
      <c r="AN43" s="56"/>
      <c r="AO43" s="56"/>
      <c r="AU43" s="59"/>
      <c r="AV43" s="73"/>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22"/>
    </row>
    <row r="44" spans="3:85" ht="14.55" customHeight="1" x14ac:dyDescent="0.3">
      <c r="C44" s="58" t="s">
        <v>161</v>
      </c>
      <c r="L44" s="2" t="s">
        <v>104</v>
      </c>
      <c r="M44" s="137"/>
      <c r="N44" s="137"/>
      <c r="O44" s="137"/>
      <c r="P44" s="137"/>
      <c r="V44" s="2" t="s">
        <v>105</v>
      </c>
      <c r="W44" s="137"/>
      <c r="X44" s="137"/>
      <c r="Y44" s="137"/>
      <c r="AC44" s="120"/>
      <c r="AD44" s="23" t="s">
        <v>201</v>
      </c>
      <c r="AL44" s="77">
        <f>IF(ISBLANK(AC44),1,2)</f>
        <v>1</v>
      </c>
      <c r="AN44" s="56"/>
      <c r="AO44" s="56"/>
      <c r="AV44" s="73"/>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22"/>
    </row>
    <row r="45" spans="3:85" ht="14.55" customHeight="1" x14ac:dyDescent="0.3">
      <c r="L45" s="2" t="s">
        <v>103</v>
      </c>
      <c r="M45" s="134"/>
      <c r="N45" s="134"/>
      <c r="O45" s="134"/>
      <c r="P45" s="23" t="s">
        <v>28</v>
      </c>
      <c r="V45" s="2" t="s">
        <v>393</v>
      </c>
      <c r="W45" s="134"/>
      <c r="X45" s="134"/>
      <c r="Y45" s="134"/>
      <c r="Z45" s="23" t="s">
        <v>29</v>
      </c>
      <c r="AE45" s="2" t="s">
        <v>394</v>
      </c>
      <c r="AF45" s="134"/>
      <c r="AG45" s="134"/>
      <c r="AH45" s="134"/>
      <c r="AI45" s="23" t="s">
        <v>29</v>
      </c>
      <c r="AL45" s="77">
        <f>IF(ISBLANK(M45),1,2)</f>
        <v>1</v>
      </c>
      <c r="AM45" s="77">
        <f>IF(AND(ISBLANK(W45),ISBLANK(AF45)),1,2)</f>
        <v>1</v>
      </c>
      <c r="AN45" s="56"/>
      <c r="AO45" s="56"/>
      <c r="AQ45" s="73"/>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22"/>
    </row>
    <row r="46" spans="3:85" ht="4.95" customHeight="1" x14ac:dyDescent="0.3">
      <c r="AN46" s="56"/>
      <c r="AO46" s="56"/>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22"/>
    </row>
    <row r="47" spans="3:85" ht="14.55" customHeight="1" x14ac:dyDescent="0.3">
      <c r="L47" s="2" t="s">
        <v>195</v>
      </c>
      <c r="M47" s="134"/>
      <c r="N47" s="134"/>
      <c r="O47" s="134"/>
      <c r="P47" s="23" t="s">
        <v>29</v>
      </c>
      <c r="V47" s="2" t="s">
        <v>196</v>
      </c>
      <c r="W47" s="134"/>
      <c r="X47" s="134"/>
      <c r="Y47" s="134"/>
      <c r="Z47" s="23" t="s">
        <v>29</v>
      </c>
      <c r="AD47" s="2" t="s">
        <v>101</v>
      </c>
      <c r="AE47" s="120"/>
      <c r="AF47" s="23" t="s">
        <v>74</v>
      </c>
      <c r="AG47" s="2"/>
      <c r="AH47" s="120"/>
      <c r="AI47" s="23" t="s">
        <v>75</v>
      </c>
      <c r="AL47" s="77">
        <f>IF(AND(ISBLANK(AE47),ISBLANK(AH47)),1,2)</f>
        <v>1</v>
      </c>
      <c r="AN47" s="56"/>
      <c r="AO47" s="56"/>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22"/>
    </row>
    <row r="48" spans="3:85" ht="15" customHeight="1" x14ac:dyDescent="0.3">
      <c r="AN48" s="56"/>
      <c r="AO48" s="56"/>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22"/>
    </row>
    <row r="49" spans="2:85" ht="14.55" customHeight="1" x14ac:dyDescent="0.3">
      <c r="C49" s="58" t="s">
        <v>162</v>
      </c>
      <c r="L49" s="2" t="s">
        <v>104</v>
      </c>
      <c r="M49" s="137"/>
      <c r="N49" s="137"/>
      <c r="O49" s="137"/>
      <c r="P49" s="137"/>
      <c r="V49" s="2" t="s">
        <v>105</v>
      </c>
      <c r="W49" s="138"/>
      <c r="X49" s="138"/>
      <c r="Y49" s="138"/>
      <c r="AE49" s="2" t="s">
        <v>146</v>
      </c>
      <c r="AF49" s="134"/>
      <c r="AG49" s="134"/>
      <c r="AH49" s="134"/>
      <c r="AI49" s="23" t="s">
        <v>29</v>
      </c>
      <c r="AN49" s="56"/>
      <c r="AO49" s="56"/>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22"/>
    </row>
    <row r="50" spans="2:85" ht="14.55" customHeight="1" x14ac:dyDescent="0.3">
      <c r="L50" s="2" t="s">
        <v>103</v>
      </c>
      <c r="M50" s="134"/>
      <c r="N50" s="134"/>
      <c r="O50" s="134"/>
      <c r="P50" s="23" t="s">
        <v>28</v>
      </c>
      <c r="V50" s="2" t="s">
        <v>393</v>
      </c>
      <c r="W50" s="135"/>
      <c r="X50" s="135"/>
      <c r="Y50" s="135"/>
      <c r="Z50" s="23" t="s">
        <v>29</v>
      </c>
      <c r="AE50" s="2" t="s">
        <v>394</v>
      </c>
      <c r="AF50" s="134"/>
      <c r="AG50" s="134"/>
      <c r="AH50" s="134"/>
      <c r="AI50" s="23" t="s">
        <v>29</v>
      </c>
      <c r="AL50" s="77">
        <f>IF(ISBLANK(M50),1,2)</f>
        <v>1</v>
      </c>
      <c r="AM50" s="77">
        <f>IF(AND(ISBLANK(W50),ISBLANK(AF50)),1,2)</f>
        <v>1</v>
      </c>
      <c r="AN50" s="56"/>
      <c r="AO50" s="56"/>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22"/>
    </row>
    <row r="51" spans="2:85" ht="15" customHeight="1" x14ac:dyDescent="0.3">
      <c r="AE51" s="2"/>
      <c r="AF51" s="24"/>
      <c r="AG51" s="24"/>
      <c r="AH51" s="24"/>
      <c r="AN51" s="56"/>
      <c r="AO51" s="56"/>
      <c r="AQ51" s="73"/>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22"/>
    </row>
    <row r="52" spans="2:85" ht="15" customHeight="1" x14ac:dyDescent="0.3">
      <c r="AN52" s="56"/>
      <c r="AO52" s="56"/>
      <c r="AQ52" s="73"/>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22"/>
    </row>
    <row r="53" spans="2:85" ht="15" customHeight="1" x14ac:dyDescent="0.3">
      <c r="B53" s="131">
        <f>Tables!$F$13</f>
        <v>46266</v>
      </c>
      <c r="C53" s="131"/>
      <c r="D53" s="131"/>
      <c r="E53" s="131"/>
      <c r="F53" s="131"/>
      <c r="G53" s="131"/>
      <c r="H53" s="131"/>
      <c r="R53" s="132" t="s">
        <v>403</v>
      </c>
      <c r="S53" s="132"/>
      <c r="T53" s="132"/>
      <c r="U53" s="132"/>
      <c r="AN53" s="56"/>
      <c r="AO53" s="56"/>
      <c r="AQ53" s="73"/>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22"/>
    </row>
    <row r="54" spans="2:85" ht="15" customHeight="1" x14ac:dyDescent="0.3">
      <c r="C54" s="2" t="s">
        <v>1</v>
      </c>
      <c r="D54" s="141">
        <f>IF(ISBLANK($E$7),0,$E$7)</f>
        <v>0</v>
      </c>
      <c r="E54" s="141"/>
      <c r="F54" s="141"/>
      <c r="G54" s="141"/>
      <c r="H54" s="141"/>
      <c r="I54" s="141"/>
      <c r="J54" s="141"/>
      <c r="K54" s="141"/>
      <c r="L54" s="141"/>
      <c r="M54" s="141"/>
      <c r="N54" s="141"/>
      <c r="O54" s="141"/>
      <c r="P54" s="141"/>
      <c r="Q54" s="141"/>
      <c r="R54" s="141"/>
      <c r="S54" s="141"/>
      <c r="T54" s="141"/>
      <c r="U54" s="141"/>
      <c r="V54" s="141"/>
      <c r="W54" s="141"/>
      <c r="X54" s="141"/>
      <c r="Y54" s="141"/>
      <c r="Z54" s="29"/>
      <c r="AD54" s="2" t="s">
        <v>12</v>
      </c>
      <c r="AE54" s="139">
        <f>IF(ISBLANK($AE$7),0,$AE$7)</f>
        <v>0</v>
      </c>
      <c r="AF54" s="139"/>
      <c r="AG54" s="139"/>
      <c r="AH54" s="139"/>
      <c r="AI54" s="139"/>
      <c r="AJ54" s="139"/>
      <c r="AN54" s="56"/>
      <c r="AO54" s="56"/>
      <c r="AQ54" s="73"/>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22"/>
    </row>
    <row r="55" spans="2:85" ht="15" customHeight="1" x14ac:dyDescent="0.3">
      <c r="C55" s="30"/>
      <c r="D55" s="30"/>
      <c r="E55" s="30"/>
      <c r="F55" s="30"/>
      <c r="G55" s="30"/>
      <c r="H55" s="30"/>
      <c r="I55" s="30"/>
      <c r="J55" s="2"/>
      <c r="K55" s="2"/>
      <c r="L55" s="2"/>
      <c r="M55" s="2"/>
      <c r="N55" s="30"/>
      <c r="O55" s="29"/>
      <c r="P55" s="29"/>
      <c r="Q55" s="29"/>
      <c r="R55" s="29"/>
      <c r="S55" s="29"/>
      <c r="T55" s="29"/>
      <c r="U55" s="29"/>
      <c r="V55" s="29"/>
      <c r="W55" s="29"/>
      <c r="X55" s="29"/>
      <c r="Y55" s="29"/>
      <c r="Z55" s="29"/>
      <c r="AD55" s="2" t="s">
        <v>23</v>
      </c>
      <c r="AE55" s="140">
        <f>IF(ISBLANK($AE$8),0,$AE$8)</f>
        <v>0</v>
      </c>
      <c r="AF55" s="140"/>
      <c r="AG55" s="140"/>
      <c r="AH55" s="140"/>
      <c r="AI55" s="140"/>
      <c r="AJ55" s="140"/>
      <c r="AN55" s="56"/>
      <c r="AO55" s="56"/>
      <c r="AQ55" s="73"/>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22"/>
    </row>
    <row r="56" spans="2:85" ht="15" customHeight="1" x14ac:dyDescent="0.3">
      <c r="C56" s="58" t="s">
        <v>163</v>
      </c>
      <c r="L56" s="2" t="s">
        <v>164</v>
      </c>
      <c r="M56" s="134"/>
      <c r="N56" s="134"/>
      <c r="O56" s="134"/>
      <c r="P56" s="23" t="s">
        <v>28</v>
      </c>
      <c r="V56" s="2" t="s">
        <v>165</v>
      </c>
      <c r="W56" s="134"/>
      <c r="X56" s="134"/>
      <c r="Y56" s="134"/>
      <c r="Z56" s="23" t="s">
        <v>166</v>
      </c>
      <c r="AE56" s="2"/>
      <c r="AF56" s="24"/>
      <c r="AG56" s="24"/>
      <c r="AH56" s="24"/>
      <c r="AN56" s="56"/>
      <c r="AO56" s="56"/>
      <c r="AQ56" s="73"/>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22"/>
    </row>
    <row r="57" spans="2:85" ht="14.55" customHeight="1" x14ac:dyDescent="0.3">
      <c r="C57" s="58" t="s">
        <v>167</v>
      </c>
      <c r="L57" s="2" t="s">
        <v>164</v>
      </c>
      <c r="M57" s="134"/>
      <c r="N57" s="134"/>
      <c r="O57" s="134"/>
      <c r="P57" s="23" t="s">
        <v>28</v>
      </c>
      <c r="V57" s="2" t="s">
        <v>165</v>
      </c>
      <c r="W57" s="134"/>
      <c r="X57" s="134"/>
      <c r="Y57" s="134"/>
      <c r="Z57" s="23" t="s">
        <v>166</v>
      </c>
      <c r="AE57" s="2" t="s">
        <v>170</v>
      </c>
      <c r="AF57" s="143"/>
      <c r="AG57" s="143"/>
      <c r="AH57" s="143"/>
      <c r="AI57" s="23" t="s">
        <v>171</v>
      </c>
      <c r="AN57" s="56"/>
      <c r="AO57" s="56"/>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22"/>
    </row>
    <row r="58" spans="2:85" ht="15" customHeight="1" x14ac:dyDescent="0.3">
      <c r="AN58" s="56" t="s">
        <v>296</v>
      </c>
      <c r="AO58" s="77">
        <f>IF(ISBLANK(M59),1,IF(ISTEXT(M59)=TRUE,3,2))</f>
        <v>1</v>
      </c>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22"/>
    </row>
    <row r="59" spans="2:85" ht="14.55" customHeight="1" x14ac:dyDescent="0.3">
      <c r="B59" s="1" t="s">
        <v>401</v>
      </c>
      <c r="L59" s="26" t="s">
        <v>30</v>
      </c>
      <c r="M59" s="148"/>
      <c r="N59" s="148"/>
      <c r="O59" s="148"/>
      <c r="P59" s="148"/>
      <c r="V59" s="2" t="s">
        <v>31</v>
      </c>
      <c r="W59" s="149"/>
      <c r="X59" s="149"/>
      <c r="Y59" s="149"/>
      <c r="Z59" s="149"/>
      <c r="AL59" s="56" t="s">
        <v>92</v>
      </c>
      <c r="AM59" s="77">
        <f>SUM(AM60,AO60)</f>
        <v>0</v>
      </c>
      <c r="AN59" s="56" t="s">
        <v>297</v>
      </c>
      <c r="AO59" s="77">
        <f>IF(ISBLANK(W59),1,IF(ISTEXT(W59)=TRUE,3,2))</f>
        <v>1</v>
      </c>
      <c r="AQ59" s="73"/>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22"/>
    </row>
    <row r="60" spans="2:85" ht="15" customHeight="1" x14ac:dyDescent="0.3">
      <c r="AL60" s="56" t="s">
        <v>90</v>
      </c>
      <c r="AM60" s="77">
        <f>IF(ISBLANK(M59),0,1)</f>
        <v>0</v>
      </c>
      <c r="AN60" s="56" t="s">
        <v>91</v>
      </c>
      <c r="AO60" s="77">
        <f>IF(ISBLANK(W59),0,1)</f>
        <v>0</v>
      </c>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row>
    <row r="61" spans="2:85" ht="15" customHeight="1" x14ac:dyDescent="0.3">
      <c r="B61" s="5" t="s">
        <v>13</v>
      </c>
      <c r="AQ61" s="59"/>
      <c r="AR61" s="59"/>
      <c r="AS61" s="59"/>
      <c r="AT61" s="59"/>
      <c r="AU61" s="59"/>
      <c r="AV61" s="59"/>
    </row>
    <row r="62" spans="2:85" ht="15" customHeight="1" x14ac:dyDescent="0.3">
      <c r="B62" s="152"/>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4"/>
    </row>
    <row r="63" spans="2:85" ht="15" customHeight="1" x14ac:dyDescent="0.3">
      <c r="B63" s="155"/>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7"/>
    </row>
    <row r="64" spans="2:85" ht="15" customHeight="1" x14ac:dyDescent="0.3">
      <c r="B64" s="155"/>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7"/>
    </row>
    <row r="65" spans="2:36" ht="15" customHeight="1" x14ac:dyDescent="0.3">
      <c r="B65" s="155"/>
      <c r="C65" s="156"/>
      <c r="D65" s="156"/>
      <c r="E65" s="156"/>
      <c r="F65" s="156"/>
      <c r="G65" s="156"/>
      <c r="H65" s="156"/>
      <c r="I65" s="156"/>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7"/>
    </row>
    <row r="66" spans="2:36" ht="15" customHeight="1" x14ac:dyDescent="0.3">
      <c r="B66" s="155"/>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7"/>
    </row>
    <row r="67" spans="2:36" ht="15" customHeight="1" x14ac:dyDescent="0.3">
      <c r="B67" s="158"/>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c r="AI67" s="159"/>
      <c r="AJ67" s="160"/>
    </row>
    <row r="68" spans="2:36" ht="15" customHeight="1" x14ac:dyDescent="0.3"/>
    <row r="69" spans="2:36" ht="15" customHeight="1" x14ac:dyDescent="0.3">
      <c r="B69" s="1" t="s">
        <v>10</v>
      </c>
      <c r="C69" s="1"/>
      <c r="D69" s="1"/>
      <c r="E69" s="1"/>
      <c r="F69" s="1"/>
      <c r="G69" s="1"/>
      <c r="H69" s="1"/>
      <c r="I69" s="1"/>
    </row>
    <row r="70" spans="2:36" ht="15" customHeight="1" x14ac:dyDescent="0.3">
      <c r="B70" s="71" t="s">
        <v>224</v>
      </c>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row>
    <row r="71" spans="2:36" ht="15" customHeight="1" x14ac:dyDescent="0.3">
      <c r="B71" s="46"/>
      <c r="C71" s="50" t="s">
        <v>65</v>
      </c>
      <c r="D71" s="71" t="str">
        <f>"Is designed in accordance with the latest version of the "&amp;Tables!F23&amp;"'s requirements;"</f>
        <v>Is designed in accordance with the latest version of the City's requirements;</v>
      </c>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row>
    <row r="72" spans="2:36" ht="15" customHeight="1" x14ac:dyDescent="0.3">
      <c r="B72" s="46"/>
      <c r="C72" s="50" t="s">
        <v>65</v>
      </c>
      <c r="D72" s="71" t="s">
        <v>397</v>
      </c>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row>
    <row r="73" spans="2:36" ht="15" customHeight="1" x14ac:dyDescent="0.3">
      <c r="B73" s="46"/>
      <c r="C73" s="50" t="s">
        <v>65</v>
      </c>
      <c r="D73" s="71" t="s">
        <v>302</v>
      </c>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row>
    <row r="74" spans="2:36" ht="15" customHeight="1" x14ac:dyDescent="0.3">
      <c r="B74" s="46"/>
      <c r="C74" s="50"/>
      <c r="D74" s="71" t="s">
        <v>398</v>
      </c>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row>
    <row r="75" spans="2:36" ht="15" customHeight="1" x14ac:dyDescent="0.3">
      <c r="B75" s="46"/>
      <c r="C75" s="50"/>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2:36" ht="15" customHeight="1" x14ac:dyDescent="0.3">
      <c r="E76" s="2" t="s">
        <v>110</v>
      </c>
      <c r="F76" s="137"/>
      <c r="G76" s="137"/>
      <c r="H76" s="137"/>
      <c r="I76" s="137"/>
      <c r="J76" s="137"/>
      <c r="K76" s="137"/>
      <c r="L76" s="137"/>
      <c r="M76" s="137"/>
      <c r="N76" s="137"/>
      <c r="O76" s="137"/>
      <c r="P76" s="137"/>
      <c r="Q76" s="137"/>
      <c r="R76" s="137"/>
      <c r="S76" s="137"/>
      <c r="T76" s="137"/>
      <c r="U76" s="137"/>
      <c r="V76" s="137"/>
      <c r="W76" s="137"/>
      <c r="X76" s="137"/>
      <c r="Y76" s="137"/>
      <c r="Z76" s="137"/>
      <c r="AC76" s="2" t="s">
        <v>256</v>
      </c>
      <c r="AD76" s="2"/>
      <c r="AE76" s="2"/>
      <c r="AF76" s="2"/>
    </row>
    <row r="77" spans="2:36" ht="15" customHeight="1" x14ac:dyDescent="0.3">
      <c r="E77" s="2" t="s">
        <v>81</v>
      </c>
      <c r="F77" s="150"/>
      <c r="G77" s="150"/>
      <c r="H77" s="150"/>
      <c r="I77" s="150"/>
      <c r="J77" s="150"/>
      <c r="K77" s="150"/>
      <c r="L77" s="150"/>
      <c r="M77" s="150"/>
      <c r="N77" s="150"/>
      <c r="O77" s="150"/>
      <c r="P77" s="150"/>
      <c r="Q77" s="150"/>
      <c r="R77" s="150"/>
      <c r="S77" s="150"/>
      <c r="T77" s="150"/>
      <c r="U77" s="150"/>
      <c r="V77" s="150"/>
      <c r="W77" s="150"/>
      <c r="X77" s="150"/>
      <c r="Y77" s="150"/>
      <c r="Z77" s="150"/>
    </row>
    <row r="78" spans="2:36" ht="15" customHeight="1" x14ac:dyDescent="0.3">
      <c r="E78" s="2" t="s">
        <v>82</v>
      </c>
      <c r="F78" s="150"/>
      <c r="G78" s="150"/>
      <c r="H78" s="150"/>
      <c r="I78" s="150"/>
      <c r="J78" s="150"/>
      <c r="K78" s="150"/>
      <c r="L78" s="150"/>
      <c r="M78" s="150"/>
      <c r="N78" s="150"/>
      <c r="O78" s="150"/>
      <c r="P78" s="150"/>
      <c r="Q78" s="150"/>
      <c r="R78" s="150"/>
      <c r="S78" s="150"/>
      <c r="T78" s="150"/>
      <c r="U78" s="150"/>
      <c r="V78" s="150"/>
      <c r="W78" s="150"/>
      <c r="X78" s="150"/>
      <c r="Y78" s="150"/>
      <c r="Z78" s="150"/>
    </row>
    <row r="79" spans="2:36" ht="15" customHeight="1" x14ac:dyDescent="0.3">
      <c r="E79" s="2" t="s">
        <v>242</v>
      </c>
      <c r="F79" s="150"/>
      <c r="G79" s="150"/>
      <c r="H79" s="150"/>
      <c r="I79" s="150"/>
      <c r="J79" s="150"/>
      <c r="K79" s="150"/>
      <c r="L79" s="150"/>
      <c r="M79" s="53"/>
      <c r="N79" s="53"/>
      <c r="O79" s="82" t="s">
        <v>85</v>
      </c>
      <c r="P79" s="150"/>
      <c r="Q79" s="150"/>
      <c r="R79" s="150"/>
      <c r="S79" s="150"/>
      <c r="T79" s="53"/>
      <c r="U79" s="53"/>
      <c r="V79" s="53"/>
      <c r="W79" s="82" t="s">
        <v>86</v>
      </c>
      <c r="X79" s="145"/>
      <c r="Y79" s="145"/>
      <c r="Z79" s="145"/>
    </row>
    <row r="80" spans="2:36" ht="15" customHeight="1" x14ac:dyDescent="0.3">
      <c r="E80" s="2" t="s">
        <v>83</v>
      </c>
      <c r="F80" s="151"/>
      <c r="G80" s="151"/>
      <c r="H80" s="151"/>
      <c r="I80" s="151"/>
      <c r="J80" s="151"/>
      <c r="K80" s="151"/>
      <c r="L80" s="151"/>
      <c r="M80" s="151"/>
      <c r="N80" s="151"/>
      <c r="O80" s="151"/>
      <c r="P80" s="151"/>
      <c r="Q80" s="151"/>
      <c r="R80" s="151"/>
      <c r="S80" s="151"/>
      <c r="T80" s="151"/>
      <c r="U80" s="151"/>
      <c r="V80" s="151"/>
      <c r="W80" s="151"/>
      <c r="X80" s="151"/>
      <c r="Y80" s="151"/>
      <c r="Z80" s="151"/>
    </row>
    <row r="81" spans="2:38" ht="15" customHeight="1" x14ac:dyDescent="0.3">
      <c r="E81" s="2" t="s">
        <v>87</v>
      </c>
      <c r="F81" s="147"/>
      <c r="G81" s="147"/>
      <c r="H81" s="147"/>
      <c r="I81" s="147"/>
      <c r="J81" s="147"/>
      <c r="V81" s="46"/>
      <c r="W81" s="46"/>
      <c r="X81" s="46"/>
    </row>
    <row r="82" spans="2:38" ht="15" customHeight="1" x14ac:dyDescent="0.3">
      <c r="E82" s="2"/>
      <c r="F82" s="53"/>
      <c r="G82" s="53"/>
      <c r="H82" s="53"/>
      <c r="I82" s="53"/>
      <c r="J82" s="53"/>
      <c r="V82" s="46"/>
      <c r="W82" s="46"/>
      <c r="X82" s="46"/>
    </row>
    <row r="83" spans="2:38" ht="15" customHeight="1" x14ac:dyDescent="0.3">
      <c r="E83" s="2" t="s">
        <v>111</v>
      </c>
      <c r="F83" s="66"/>
      <c r="G83" s="66"/>
      <c r="H83" s="66"/>
      <c r="I83" s="66"/>
      <c r="J83" s="66"/>
      <c r="K83" s="66"/>
      <c r="L83" s="66"/>
      <c r="M83" s="66"/>
      <c r="N83" s="66"/>
      <c r="O83" s="66"/>
      <c r="P83" s="66"/>
      <c r="Q83" s="66"/>
      <c r="R83" s="66"/>
      <c r="S83" s="66"/>
      <c r="T83" s="66"/>
      <c r="U83" s="66"/>
      <c r="V83" s="46"/>
      <c r="W83" s="46"/>
      <c r="X83" s="46"/>
      <c r="AC83" s="2" t="s">
        <v>109</v>
      </c>
      <c r="AD83" s="144"/>
      <c r="AE83" s="144"/>
      <c r="AF83" s="144"/>
      <c r="AG83" s="144"/>
      <c r="AH83" s="144"/>
    </row>
    <row r="84" spans="2:38" ht="15" customHeight="1" x14ac:dyDescent="0.3"/>
    <row r="85" spans="2:38" ht="15" customHeight="1" x14ac:dyDescent="0.3">
      <c r="B85" s="32" t="s">
        <v>46</v>
      </c>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4"/>
      <c r="AL85" s="9" t="s">
        <v>243</v>
      </c>
    </row>
    <row r="86" spans="2:38" ht="15" customHeight="1" x14ac:dyDescent="0.3">
      <c r="B86" s="35"/>
      <c r="C86" s="6"/>
      <c r="D86" s="6"/>
      <c r="E86" s="6"/>
      <c r="F86" s="6"/>
      <c r="G86" s="6"/>
      <c r="H86" s="6"/>
      <c r="I86" s="6"/>
      <c r="J86" s="36" t="s">
        <v>47</v>
      </c>
      <c r="K86" s="36"/>
      <c r="L86" s="37" t="s">
        <v>123</v>
      </c>
      <c r="M86" s="36"/>
      <c r="N86" s="36"/>
      <c r="O86" s="36"/>
      <c r="P86" s="37"/>
      <c r="Q86" s="6"/>
      <c r="R86" s="6"/>
      <c r="S86" s="6"/>
      <c r="T86" s="6"/>
      <c r="U86" s="6"/>
      <c r="V86" s="6"/>
      <c r="W86" s="6"/>
      <c r="X86" s="6"/>
      <c r="Y86" s="6"/>
      <c r="Z86" s="6"/>
      <c r="AA86" s="6"/>
      <c r="AB86" s="6"/>
      <c r="AC86" s="6"/>
      <c r="AD86" s="6"/>
      <c r="AE86" s="6"/>
      <c r="AF86" s="6"/>
      <c r="AG86" s="6"/>
      <c r="AH86" s="6"/>
      <c r="AI86" s="6"/>
      <c r="AJ86" s="38"/>
      <c r="AL86" s="77">
        <f>SUM(AL88:AL94)</f>
        <v>5</v>
      </c>
    </row>
    <row r="87" spans="2:38" ht="15" customHeight="1" x14ac:dyDescent="0.3">
      <c r="B87" s="35"/>
      <c r="C87" s="6"/>
      <c r="D87" s="6"/>
      <c r="E87" s="6"/>
      <c r="F87" s="6"/>
      <c r="G87" s="6"/>
      <c r="H87" s="6"/>
      <c r="I87" s="6"/>
      <c r="J87" s="7" t="s">
        <v>300</v>
      </c>
      <c r="K87" s="7"/>
      <c r="L87" s="6" t="str">
        <f>IF(ISBLANK(AC6),Tables!J2,"")</f>
        <v>Parcel No. has not been provided</v>
      </c>
      <c r="M87" s="36"/>
      <c r="N87" s="36"/>
      <c r="O87" s="36"/>
      <c r="P87" s="37"/>
      <c r="Q87" s="6"/>
      <c r="R87" s="6"/>
      <c r="S87" s="6"/>
      <c r="T87" s="6"/>
      <c r="U87" s="6"/>
      <c r="V87" s="6"/>
      <c r="W87" s="6"/>
      <c r="X87" s="6"/>
      <c r="Y87" s="6"/>
      <c r="Z87" s="6"/>
      <c r="AA87" s="6"/>
      <c r="AB87" s="6"/>
      <c r="AC87" s="6"/>
      <c r="AD87" s="6"/>
      <c r="AE87" s="6"/>
      <c r="AF87" s="6"/>
      <c r="AG87" s="6"/>
      <c r="AH87" s="6"/>
      <c r="AI87" s="6"/>
      <c r="AJ87" s="38"/>
      <c r="AL87" s="77">
        <f>IF(L87="",0,1)</f>
        <v>1</v>
      </c>
    </row>
    <row r="88" spans="2:38" ht="15" customHeight="1" x14ac:dyDescent="0.3">
      <c r="B88" s="35"/>
      <c r="C88" s="6"/>
      <c r="D88" s="67"/>
      <c r="E88" s="6"/>
      <c r="F88" s="6"/>
      <c r="G88" s="6"/>
      <c r="H88" s="6"/>
      <c r="I88" s="6"/>
      <c r="J88" s="79" t="s">
        <v>204</v>
      </c>
      <c r="K88" s="7"/>
      <c r="L88" s="6"/>
      <c r="M88" s="7"/>
      <c r="N88" s="7"/>
      <c r="O88" s="7"/>
      <c r="P88" s="6"/>
      <c r="Q88" s="6"/>
      <c r="R88" s="6"/>
      <c r="S88" s="6"/>
      <c r="T88" s="6"/>
      <c r="U88" s="6"/>
      <c r="V88" s="6"/>
      <c r="W88" s="6"/>
      <c r="X88" s="6"/>
      <c r="Y88" s="6"/>
      <c r="Z88" s="6"/>
      <c r="AA88" s="6"/>
      <c r="AB88" s="6"/>
      <c r="AC88" s="6"/>
      <c r="AD88" s="6"/>
      <c r="AE88" s="6"/>
      <c r="AF88" s="6"/>
      <c r="AG88" s="6"/>
      <c r="AH88" s="6"/>
      <c r="AI88" s="6"/>
      <c r="AJ88" s="38"/>
      <c r="AL88" s="77">
        <f t="shared" ref="AL88:AL94" si="1">IF(L88="",0,1)</f>
        <v>0</v>
      </c>
    </row>
    <row r="89" spans="2:38" ht="15" customHeight="1" x14ac:dyDescent="0.3">
      <c r="B89" s="35"/>
      <c r="C89" s="6"/>
      <c r="D89" s="6"/>
      <c r="E89" s="6"/>
      <c r="F89" s="6"/>
      <c r="G89" s="6"/>
      <c r="H89" s="6"/>
      <c r="I89" s="6"/>
      <c r="J89" s="7" t="s">
        <v>207</v>
      </c>
      <c r="K89" s="7"/>
      <c r="L89" s="6" t="str">
        <f>IF(ISBLANK(H27),Tables!J5,(IF(AL27&gt;5,Tables!J5,"")))</f>
        <v>Drainage area exceeds the recommended 5.0 acre maximum</v>
      </c>
      <c r="M89" s="7"/>
      <c r="N89" s="7"/>
      <c r="O89" s="7"/>
      <c r="P89" s="6"/>
      <c r="Q89" s="6"/>
      <c r="R89" s="6"/>
      <c r="S89" s="6"/>
      <c r="T89" s="6"/>
      <c r="U89" s="6"/>
      <c r="V89" s="6"/>
      <c r="W89" s="6"/>
      <c r="X89" s="6"/>
      <c r="Y89" s="6"/>
      <c r="Z89" s="6"/>
      <c r="AA89" s="6"/>
      <c r="AB89" s="6"/>
      <c r="AC89" s="6"/>
      <c r="AD89" s="6"/>
      <c r="AE89" s="6"/>
      <c r="AF89" s="6"/>
      <c r="AG89" s="6"/>
      <c r="AH89" s="6"/>
      <c r="AI89" s="6"/>
      <c r="AJ89" s="38"/>
      <c r="AL89" s="77">
        <f t="shared" si="1"/>
        <v>1</v>
      </c>
    </row>
    <row r="90" spans="2:38" ht="15" customHeight="1" x14ac:dyDescent="0.3">
      <c r="B90" s="35"/>
      <c r="C90" s="6"/>
      <c r="D90" s="6"/>
      <c r="E90" s="6"/>
      <c r="F90" s="6"/>
      <c r="G90" s="6"/>
      <c r="H90" s="6"/>
      <c r="I90" s="6"/>
      <c r="J90" s="7" t="s">
        <v>208</v>
      </c>
      <c r="K90" s="7"/>
      <c r="L90" s="6" t="str">
        <f>IF(ISBLANK(AF27),Tables!J6,IF(AF27&gt;5,Tables!J6,""))</f>
        <v>Land slope exceeds the recommended 5% maximum</v>
      </c>
      <c r="M90" s="7"/>
      <c r="N90" s="7"/>
      <c r="O90" s="7"/>
      <c r="P90" s="6"/>
      <c r="Q90" s="6"/>
      <c r="R90" s="6"/>
      <c r="S90" s="6"/>
      <c r="T90" s="6"/>
      <c r="U90" s="6"/>
      <c r="V90" s="6"/>
      <c r="W90" s="6"/>
      <c r="X90" s="6"/>
      <c r="Y90" s="6"/>
      <c r="Z90" s="6"/>
      <c r="AA90" s="6"/>
      <c r="AB90" s="6"/>
      <c r="AC90" s="6"/>
      <c r="AD90" s="6"/>
      <c r="AE90" s="6"/>
      <c r="AF90" s="6"/>
      <c r="AG90" s="6"/>
      <c r="AH90" s="6"/>
      <c r="AI90" s="6"/>
      <c r="AJ90" s="38"/>
      <c r="AL90" s="77">
        <f t="shared" si="1"/>
        <v>1</v>
      </c>
    </row>
    <row r="91" spans="2:38" ht="15" customHeight="1" x14ac:dyDescent="0.3">
      <c r="B91" s="35"/>
      <c r="C91" s="6"/>
      <c r="D91" s="6"/>
      <c r="E91" s="6"/>
      <c r="F91" s="6"/>
      <c r="G91" s="6"/>
      <c r="H91" s="6"/>
      <c r="I91" s="6"/>
      <c r="J91" s="7" t="s">
        <v>209</v>
      </c>
      <c r="K91" s="7"/>
      <c r="L91" s="6" t="str">
        <f>IF(ISBLANK(W56),Tables!J7,IF(W56&gt;96,Tables!J7,""))</f>
        <v>Drain time exceeds the recommended 96 hours</v>
      </c>
      <c r="M91" s="7"/>
      <c r="N91" s="7"/>
      <c r="O91" s="7"/>
      <c r="P91" s="6"/>
      <c r="Q91" s="6"/>
      <c r="R91" s="6"/>
      <c r="S91" s="6"/>
      <c r="T91" s="6"/>
      <c r="U91" s="6"/>
      <c r="V91" s="6"/>
      <c r="W91" s="6"/>
      <c r="X91" s="6"/>
      <c r="Y91" s="6"/>
      <c r="Z91" s="6"/>
      <c r="AA91" s="6"/>
      <c r="AB91" s="6"/>
      <c r="AC91" s="6"/>
      <c r="AD91" s="6"/>
      <c r="AE91" s="6"/>
      <c r="AF91" s="6"/>
      <c r="AG91" s="6"/>
      <c r="AH91" s="6"/>
      <c r="AI91" s="6"/>
      <c r="AJ91" s="38"/>
      <c r="AL91" s="77">
        <f t="shared" si="1"/>
        <v>1</v>
      </c>
    </row>
    <row r="92" spans="2:38" ht="15" customHeight="1" x14ac:dyDescent="0.3">
      <c r="B92" s="35"/>
      <c r="C92" s="6"/>
      <c r="D92" s="6"/>
      <c r="E92" s="6"/>
      <c r="F92" s="6"/>
      <c r="G92" s="6"/>
      <c r="H92" s="6"/>
      <c r="I92" s="6"/>
      <c r="J92" s="7" t="s">
        <v>210</v>
      </c>
      <c r="K92" s="7"/>
      <c r="L92" s="6" t="str">
        <f>IF(ISBLANK(W57),Tables!J8,IF(W57&gt;12,Tables!J8,""))</f>
        <v>Drain time exceeds the recommended 12 hours</v>
      </c>
      <c r="M92" s="7"/>
      <c r="N92" s="7"/>
      <c r="O92" s="7"/>
      <c r="P92" s="6"/>
      <c r="Q92" s="6"/>
      <c r="R92" s="6"/>
      <c r="S92" s="6"/>
      <c r="T92" s="6"/>
      <c r="U92" s="6"/>
      <c r="V92" s="6"/>
      <c r="W92" s="6"/>
      <c r="X92" s="6"/>
      <c r="Y92" s="6"/>
      <c r="Z92" s="6"/>
      <c r="AA92" s="6"/>
      <c r="AB92" s="6"/>
      <c r="AC92" s="6"/>
      <c r="AD92" s="6"/>
      <c r="AE92" s="6"/>
      <c r="AF92" s="6"/>
      <c r="AG92" s="6"/>
      <c r="AH92" s="6"/>
      <c r="AI92" s="6"/>
      <c r="AJ92" s="38"/>
      <c r="AL92" s="77">
        <f t="shared" si="1"/>
        <v>1</v>
      </c>
    </row>
    <row r="93" spans="2:38" ht="15" customHeight="1" x14ac:dyDescent="0.3">
      <c r="B93" s="35"/>
      <c r="C93" s="6"/>
      <c r="D93" s="6"/>
      <c r="E93" s="6"/>
      <c r="F93" s="6"/>
      <c r="G93" s="6"/>
      <c r="H93" s="6"/>
      <c r="I93" s="6"/>
      <c r="J93" s="7" t="s">
        <v>93</v>
      </c>
      <c r="K93" s="7"/>
      <c r="L93" s="6" t="str">
        <f>IF(AND(W21=0,ISBLANK(AF31)),Tables!J9,IF(AF31&lt;W21,Tables!J9,""))</f>
        <v>WQv Required &gt; WQv Provided</v>
      </c>
      <c r="M93" s="7"/>
      <c r="N93" s="7"/>
      <c r="O93" s="7"/>
      <c r="P93" s="6"/>
      <c r="Q93" s="6"/>
      <c r="R93" s="6"/>
      <c r="S93" s="6"/>
      <c r="T93" s="6"/>
      <c r="U93" s="6"/>
      <c r="V93" s="6"/>
      <c r="W93" s="6"/>
      <c r="X93" s="6"/>
      <c r="Y93" s="6"/>
      <c r="Z93" s="6"/>
      <c r="AA93" s="6"/>
      <c r="AB93" s="6"/>
      <c r="AC93" s="6"/>
      <c r="AD93" s="6"/>
      <c r="AE93" s="6"/>
      <c r="AF93" s="6"/>
      <c r="AG93" s="6"/>
      <c r="AH93" s="6"/>
      <c r="AI93" s="6"/>
      <c r="AJ93" s="38"/>
      <c r="AL93" s="77"/>
    </row>
    <row r="94" spans="2:38" ht="15" customHeight="1" x14ac:dyDescent="0.3">
      <c r="B94" s="39"/>
      <c r="C94" s="40"/>
      <c r="D94" s="40"/>
      <c r="E94" s="40"/>
      <c r="F94" s="40"/>
      <c r="G94" s="40"/>
      <c r="H94" s="40"/>
      <c r="I94" s="40"/>
      <c r="J94" s="41" t="s">
        <v>413</v>
      </c>
      <c r="K94" s="41"/>
      <c r="L94" s="40" t="str">
        <f>IF(AM59&lt;2,Tables!J3,"")</f>
        <v>Latitude and/or Longitude not provided</v>
      </c>
      <c r="M94" s="41"/>
      <c r="N94" s="41"/>
      <c r="O94" s="41"/>
      <c r="P94" s="40"/>
      <c r="Q94" s="40"/>
      <c r="R94" s="40"/>
      <c r="S94" s="40"/>
      <c r="T94" s="40"/>
      <c r="U94" s="40"/>
      <c r="V94" s="40"/>
      <c r="W94" s="40"/>
      <c r="X94" s="40"/>
      <c r="Y94" s="40"/>
      <c r="Z94" s="40"/>
      <c r="AA94" s="40"/>
      <c r="AB94" s="40"/>
      <c r="AC94" s="40"/>
      <c r="AD94" s="40"/>
      <c r="AE94" s="40"/>
      <c r="AF94" s="40"/>
      <c r="AG94" s="40"/>
      <c r="AH94" s="40"/>
      <c r="AI94" s="40"/>
      <c r="AJ94" s="42"/>
      <c r="AL94" s="77">
        <f t="shared" si="1"/>
        <v>1</v>
      </c>
    </row>
    <row r="95" spans="2:38" ht="15" customHeight="1" x14ac:dyDescent="0.3">
      <c r="AK95" s="25"/>
    </row>
    <row r="96" spans="2:38" ht="15" customHeight="1" x14ac:dyDescent="0.3">
      <c r="AK96" s="25"/>
    </row>
    <row r="97" spans="2:37" ht="15" customHeight="1" x14ac:dyDescent="0.3">
      <c r="B97" s="131">
        <f>Tables!$F$13</f>
        <v>46266</v>
      </c>
      <c r="C97" s="131"/>
      <c r="D97" s="131"/>
      <c r="E97" s="131"/>
      <c r="F97" s="131"/>
      <c r="G97" s="131"/>
      <c r="H97" s="131"/>
      <c r="R97" s="132" t="s">
        <v>402</v>
      </c>
      <c r="S97" s="132"/>
      <c r="T97" s="132"/>
      <c r="U97" s="132"/>
      <c r="AK97" s="25"/>
    </row>
    <row r="98" spans="2:37" ht="15" customHeight="1" x14ac:dyDescent="0.3"/>
    <row r="99" spans="2:37" ht="15" customHeight="1" x14ac:dyDescent="0.3"/>
    <row r="100" spans="2:37" ht="15" customHeight="1" x14ac:dyDescent="0.3"/>
  </sheetData>
  <sheetProtection algorithmName="SHA-512" hashValue="Rcxmp474v3sm3Pq/ds+IHkCRw0aelqzETX9sCHkscrFyc/Tv1H0p+kXPtou7klj48kTvTgvnMJneFVnrbATE7A==" saltValue="CW6SDvpX/P8tt13pEdi4jA==" spinCount="100000" sheet="1" objects="1" scenarios="1" selectLockedCells="1"/>
  <mergeCells count="96">
    <mergeCell ref="AC6:AJ6"/>
    <mergeCell ref="J17:M17"/>
    <mergeCell ref="W33:Y33"/>
    <mergeCell ref="AF27:AH27"/>
    <mergeCell ref="U27:W27"/>
    <mergeCell ref="W32:Y32"/>
    <mergeCell ref="W20:Z20"/>
    <mergeCell ref="W21:Z21"/>
    <mergeCell ref="N18:O18"/>
    <mergeCell ref="P29:T29"/>
    <mergeCell ref="L25:N25"/>
    <mergeCell ref="J19:M19"/>
    <mergeCell ref="N19:O19"/>
    <mergeCell ref="N21:O21"/>
    <mergeCell ref="J20:M20"/>
    <mergeCell ref="J21:M21"/>
    <mergeCell ref="V1:AK4"/>
    <mergeCell ref="M35:O35"/>
    <mergeCell ref="R35:T35"/>
    <mergeCell ref="AE14:AH14"/>
    <mergeCell ref="AI14:AJ14"/>
    <mergeCell ref="AD15:AE15"/>
    <mergeCell ref="N16:O16"/>
    <mergeCell ref="N17:O17"/>
    <mergeCell ref="AA17:AB17"/>
    <mergeCell ref="AE17:AH17"/>
    <mergeCell ref="AI17:AJ17"/>
    <mergeCell ref="E7:X7"/>
    <mergeCell ref="E8:X8"/>
    <mergeCell ref="Z15:AC15"/>
    <mergeCell ref="W17:Z17"/>
    <mergeCell ref="J16:M16"/>
    <mergeCell ref="N20:O20"/>
    <mergeCell ref="K27:L27"/>
    <mergeCell ref="W47:Y47"/>
    <mergeCell ref="R31:T31"/>
    <mergeCell ref="W31:Y31"/>
    <mergeCell ref="M33:O33"/>
    <mergeCell ref="R33:T33"/>
    <mergeCell ref="M34:O34"/>
    <mergeCell ref="R34:T34"/>
    <mergeCell ref="W34:Y34"/>
    <mergeCell ref="R32:T32"/>
    <mergeCell ref="M37:P37"/>
    <mergeCell ref="M38:O38"/>
    <mergeCell ref="R53:U53"/>
    <mergeCell ref="M42:O42"/>
    <mergeCell ref="M41:P41"/>
    <mergeCell ref="M44:P44"/>
    <mergeCell ref="M47:O47"/>
    <mergeCell ref="M49:P49"/>
    <mergeCell ref="M50:O50"/>
    <mergeCell ref="AD83:AH83"/>
    <mergeCell ref="F81:J81"/>
    <mergeCell ref="M59:P59"/>
    <mergeCell ref="W59:Z59"/>
    <mergeCell ref="F78:Z78"/>
    <mergeCell ref="F79:L79"/>
    <mergeCell ref="P79:S79"/>
    <mergeCell ref="X79:Z79"/>
    <mergeCell ref="F80:Z80"/>
    <mergeCell ref="F76:Z76"/>
    <mergeCell ref="F77:Z77"/>
    <mergeCell ref="B62:AJ67"/>
    <mergeCell ref="AE54:AJ54"/>
    <mergeCell ref="AE55:AJ55"/>
    <mergeCell ref="D54:Y54"/>
    <mergeCell ref="BH1:BX4"/>
    <mergeCell ref="AF57:AH57"/>
    <mergeCell ref="AF45:AH45"/>
    <mergeCell ref="AF50:AH50"/>
    <mergeCell ref="AF49:AH49"/>
    <mergeCell ref="AE7:AJ7"/>
    <mergeCell ref="AE8:AJ8"/>
    <mergeCell ref="AF31:AH31"/>
    <mergeCell ref="H27:J27"/>
    <mergeCell ref="J18:M18"/>
    <mergeCell ref="W35:Y35"/>
    <mergeCell ref="M39:O39"/>
    <mergeCell ref="M32:O32"/>
    <mergeCell ref="B97:H97"/>
    <mergeCell ref="R97:U97"/>
    <mergeCell ref="AQ6:BD7"/>
    <mergeCell ref="M56:O56"/>
    <mergeCell ref="M57:O57"/>
    <mergeCell ref="W38:Y38"/>
    <mergeCell ref="W39:Y39"/>
    <mergeCell ref="W42:Y42"/>
    <mergeCell ref="W44:Y44"/>
    <mergeCell ref="W45:Y45"/>
    <mergeCell ref="W49:Y49"/>
    <mergeCell ref="W50:Y50"/>
    <mergeCell ref="W56:Y56"/>
    <mergeCell ref="W57:Y57"/>
    <mergeCell ref="M45:O45"/>
    <mergeCell ref="B53:H53"/>
  </mergeCells>
  <phoneticPr fontId="20" type="noConversion"/>
  <conditionalFormatting sqref="B62">
    <cfRule type="cellIs" priority="1324" stopIfTrue="1" operator="greaterThan">
      <formula>0</formula>
    </cfRule>
    <cfRule type="expression" dxfId="132" priority="1325">
      <formula>$AL$86&gt;1</formula>
    </cfRule>
  </conditionalFormatting>
  <conditionalFormatting sqref="D54 AE54:AE55">
    <cfRule type="cellIs" dxfId="131" priority="498" operator="equal">
      <formula>0</formula>
    </cfRule>
  </conditionalFormatting>
  <conditionalFormatting sqref="F10 M10 U10">
    <cfRule type="expression" dxfId="130" priority="492">
      <formula>ISBLANK(F10)</formula>
    </cfRule>
  </conditionalFormatting>
  <conditionalFormatting sqref="F12 M12 U12">
    <cfRule type="expression" dxfId="129" priority="373">
      <formula>ISBLANK(F12)</formula>
    </cfRule>
  </conditionalFormatting>
  <conditionalFormatting sqref="F76:F77">
    <cfRule type="expression" dxfId="128" priority="200">
      <formula>ISBLANK(F76)</formula>
    </cfRule>
  </conditionalFormatting>
  <conditionalFormatting sqref="F79:F81">
    <cfRule type="expression" dxfId="127" priority="195">
      <formula>ISBLANK(F79)</formula>
    </cfRule>
  </conditionalFormatting>
  <conditionalFormatting sqref="F78:Z78">
    <cfRule type="expression" dxfId="126" priority="198">
      <formula>ISBLANK(F78)</formula>
    </cfRule>
  </conditionalFormatting>
  <conditionalFormatting sqref="H27 U27:W27 AF27:AH27">
    <cfRule type="expression" dxfId="125" priority="262">
      <formula>ISBLANK(H27)</formula>
    </cfRule>
  </conditionalFormatting>
  <conditionalFormatting sqref="H27">
    <cfRule type="expression" dxfId="124" priority="2">
      <formula>$AO$14=1</formula>
    </cfRule>
    <cfRule type="expression" dxfId="123" priority="214">
      <formula>$AL$27&gt;5</formula>
    </cfRule>
    <cfRule type="expression" dxfId="122" priority="1">
      <formula>$AO$14=2</formula>
    </cfRule>
  </conditionalFormatting>
  <conditionalFormatting sqref="H29 K29">
    <cfRule type="expression" dxfId="121" priority="266">
      <formula>$AL$29=1</formula>
    </cfRule>
    <cfRule type="cellIs" priority="265" stopIfTrue="1" operator="greaterThan">
      <formula>0</formula>
    </cfRule>
  </conditionalFormatting>
  <conditionalFormatting sqref="J16:J20">
    <cfRule type="expression" dxfId="120" priority="87">
      <formula>ISBLANK(J16)</formula>
    </cfRule>
  </conditionalFormatting>
  <conditionalFormatting sqref="J21:M21">
    <cfRule type="cellIs" dxfId="119" priority="75" operator="equal">
      <formula>0</formula>
    </cfRule>
  </conditionalFormatting>
  <conditionalFormatting sqref="K27">
    <cfRule type="expression" dxfId="118" priority="4">
      <formula>$AO$14=3</formula>
    </cfRule>
  </conditionalFormatting>
  <conditionalFormatting sqref="K27:L27">
    <cfRule type="expression" dxfId="117" priority="3">
      <formula>$AL$14=1</formula>
    </cfRule>
  </conditionalFormatting>
  <conditionalFormatting sqref="L25:N25">
    <cfRule type="expression" dxfId="116" priority="367">
      <formula>ISBLANK(L25)</formula>
    </cfRule>
  </conditionalFormatting>
  <conditionalFormatting sqref="M32:O35 R32:T35 W32:Y35">
    <cfRule type="expression" dxfId="115" priority="260">
      <formula>ISBLANK(M32)</formula>
    </cfRule>
    <cfRule type="cellIs" priority="259" stopIfTrue="1" operator="greaterThan">
      <formula>0</formula>
    </cfRule>
  </conditionalFormatting>
  <conditionalFormatting sqref="M45:O45">
    <cfRule type="cellIs" priority="242" stopIfTrue="1" operator="greaterThan">
      <formula>0</formula>
    </cfRule>
    <cfRule type="expression" dxfId="114" priority="244">
      <formula>ISBLANK(M45)</formula>
    </cfRule>
    <cfRule type="expression" priority="243" stopIfTrue="1">
      <formula>$AM$45=2</formula>
    </cfRule>
  </conditionalFormatting>
  <conditionalFormatting sqref="M47:O47 W47:Y47">
    <cfRule type="cellIs" priority="225" stopIfTrue="1" operator="notEqual">
      <formula>0</formula>
    </cfRule>
    <cfRule type="expression" dxfId="113" priority="226">
      <formula>ISBLANK(M47)</formula>
    </cfRule>
  </conditionalFormatting>
  <conditionalFormatting sqref="M50:O50">
    <cfRule type="cellIs" priority="232" stopIfTrue="1" operator="greaterThan">
      <formula>0</formula>
    </cfRule>
    <cfRule type="expression" dxfId="112" priority="234">
      <formula>ISBLANK(M50)</formula>
    </cfRule>
    <cfRule type="expression" priority="233" stopIfTrue="1">
      <formula>$AM$50=2</formula>
    </cfRule>
  </conditionalFormatting>
  <conditionalFormatting sqref="M56:O57 W56:Y57 E7:E8 AE7:AE8 AE14 Z15">
    <cfRule type="expression" dxfId="111" priority="517">
      <formula>ISBLANK(E7)</formula>
    </cfRule>
  </conditionalFormatting>
  <conditionalFormatting sqref="M37:P37 M38:O39 W38:Y39">
    <cfRule type="expression" dxfId="110" priority="1229">
      <formula>ISBLANK(M37)</formula>
    </cfRule>
    <cfRule type="expression" priority="255" stopIfTrue="1">
      <formula>$AM$37=2</formula>
    </cfRule>
    <cfRule type="cellIs" priority="253" stopIfTrue="1" operator="greaterThan">
      <formula>0</formula>
    </cfRule>
  </conditionalFormatting>
  <conditionalFormatting sqref="M41:P41 M42:O42 W42:Y42">
    <cfRule type="expression" dxfId="109" priority="249">
      <formula>ISBLANK(M41)</formula>
    </cfRule>
    <cfRule type="expression" priority="248" stopIfTrue="1">
      <formula>$AM$41=2</formula>
    </cfRule>
    <cfRule type="cellIs" priority="247" stopIfTrue="1" operator="greaterThan">
      <formula>0</formula>
    </cfRule>
  </conditionalFormatting>
  <conditionalFormatting sqref="M44:P44 W44:Y44">
    <cfRule type="expression" dxfId="108" priority="238">
      <formula>ISBLANK(M44)</formula>
    </cfRule>
  </conditionalFormatting>
  <conditionalFormatting sqref="M44:P44 W44:Y45 M45:O45 AF45:AH45 M47:O47 W47:Y47 AE47 AH47">
    <cfRule type="expression" priority="219" stopIfTrue="1">
      <formula>$AL$44=2</formula>
    </cfRule>
  </conditionalFormatting>
  <conditionalFormatting sqref="M44:P44 W44:Y45">
    <cfRule type="cellIs" priority="237" stopIfTrue="1" operator="greaterThan">
      <formula>0</formula>
    </cfRule>
  </conditionalFormatting>
  <conditionalFormatting sqref="M49:P49">
    <cfRule type="cellIs" priority="235" stopIfTrue="1" operator="greaterThan">
      <formula>0</formula>
    </cfRule>
    <cfRule type="expression" dxfId="107" priority="236">
      <formula>ISBLANK(M49)</formula>
    </cfRule>
  </conditionalFormatting>
  <conditionalFormatting sqref="M59:P59 W59:Z59">
    <cfRule type="cellIs" dxfId="106" priority="46" operator="equal">
      <formula>0</formula>
    </cfRule>
  </conditionalFormatting>
  <conditionalFormatting sqref="M59:P59">
    <cfRule type="expression" dxfId="105" priority="1368">
      <formula>$AO$58=3</formula>
    </cfRule>
  </conditionalFormatting>
  <conditionalFormatting sqref="P79">
    <cfRule type="expression" dxfId="104" priority="196">
      <formula>ISBLANK(P79)</formula>
    </cfRule>
  </conditionalFormatting>
  <conditionalFormatting sqref="P29:T29">
    <cfRule type="expression" dxfId="103" priority="264">
      <formula>$AM$29=2</formula>
    </cfRule>
    <cfRule type="cellIs" priority="263" stopIfTrue="1" operator="greaterThan">
      <formula>0</formula>
    </cfRule>
  </conditionalFormatting>
  <conditionalFormatting sqref="S14 V14">
    <cfRule type="expression" dxfId="102" priority="1349">
      <formula>$AL$14=1</formula>
    </cfRule>
  </conditionalFormatting>
  <conditionalFormatting sqref="W45:Y45 AF45">
    <cfRule type="expression" dxfId="101" priority="241">
      <formula>ISBLANK(W45)</formula>
    </cfRule>
  </conditionalFormatting>
  <conditionalFormatting sqref="W49:Y50 AF50:AH50">
    <cfRule type="cellIs" priority="229" stopIfTrue="1" operator="greaterThan">
      <formula>0</formula>
    </cfRule>
    <cfRule type="expression" dxfId="100" priority="231">
      <formula>ISBLANK(W49)</formula>
    </cfRule>
  </conditionalFormatting>
  <conditionalFormatting sqref="W50:Y50 AF50:AH50">
    <cfRule type="expression" priority="230" stopIfTrue="1">
      <formula>$AL$50=2</formula>
    </cfRule>
  </conditionalFormatting>
  <conditionalFormatting sqref="W56:Y56">
    <cfRule type="cellIs" dxfId="99" priority="217" stopIfTrue="1" operator="greaterThan">
      <formula>96</formula>
    </cfRule>
  </conditionalFormatting>
  <conditionalFormatting sqref="W56:Y57 M56:O57 AF57:AH57">
    <cfRule type="cellIs" priority="227" stopIfTrue="1" operator="greaterThan">
      <formula>0</formula>
    </cfRule>
  </conditionalFormatting>
  <conditionalFormatting sqref="W57:Y57">
    <cfRule type="cellIs" dxfId="98" priority="218" stopIfTrue="1" operator="greaterThan">
      <formula>12</formula>
    </cfRule>
  </conditionalFormatting>
  <conditionalFormatting sqref="W17:Z17">
    <cfRule type="expression" priority="1363" stopIfTrue="1">
      <formula>$AL$17=1</formula>
    </cfRule>
    <cfRule type="expression" dxfId="97" priority="1362">
      <formula>$AO$14=1</formula>
    </cfRule>
    <cfRule type="expression" dxfId="96" priority="1361">
      <formula>$AO$14=2</formula>
    </cfRule>
    <cfRule type="cellIs" dxfId="95" priority="1364" operator="equal">
      <formula>0</formula>
    </cfRule>
  </conditionalFormatting>
  <conditionalFormatting sqref="W20:Z21">
    <cfRule type="expression" priority="83" stopIfTrue="1">
      <formula>$AL$17=1</formula>
    </cfRule>
    <cfRule type="cellIs" dxfId="94" priority="84" operator="equal">
      <formula>0</formula>
    </cfRule>
  </conditionalFormatting>
  <conditionalFormatting sqref="W59:Z59">
    <cfRule type="expression" dxfId="93" priority="1369">
      <formula>$AO$59=3</formula>
    </cfRule>
  </conditionalFormatting>
  <conditionalFormatting sqref="X79">
    <cfRule type="expression" dxfId="92" priority="197">
      <formula>ISBLANK(X79)</formula>
    </cfRule>
  </conditionalFormatting>
  <conditionalFormatting sqref="Y23 AB23 AE23 AH23">
    <cfRule type="expression" dxfId="91" priority="1327">
      <formula>$AL$23=1</formula>
    </cfRule>
    <cfRule type="expression" priority="1326" stopIfTrue="1">
      <formula>$AL$23=2</formula>
    </cfRule>
  </conditionalFormatting>
  <conditionalFormatting sqref="Y25 AB25">
    <cfRule type="expression" priority="365" stopIfTrue="1">
      <formula>$AL$25=2</formula>
    </cfRule>
    <cfRule type="expression" dxfId="90" priority="366">
      <formula>$AL$25=1</formula>
    </cfRule>
  </conditionalFormatting>
  <conditionalFormatting sqref="AC6">
    <cfRule type="cellIs" dxfId="89" priority="41" operator="equal">
      <formula>0</formula>
    </cfRule>
  </conditionalFormatting>
  <conditionalFormatting sqref="AC37">
    <cfRule type="cellIs" priority="1230" stopIfTrue="1" operator="greaterThan">
      <formula>0</formula>
    </cfRule>
    <cfRule type="expression" dxfId="88" priority="1232">
      <formula>ISBLANK(AC37)</formula>
    </cfRule>
    <cfRule type="expression" priority="1231" stopIfTrue="1">
      <formula>$AL$37=2</formula>
    </cfRule>
  </conditionalFormatting>
  <conditionalFormatting sqref="AC41">
    <cfRule type="cellIs" priority="250" stopIfTrue="1" operator="greaterThan">
      <formula>0</formula>
    </cfRule>
    <cfRule type="expression" priority="251" stopIfTrue="1">
      <formula>$AL$41=2</formula>
    </cfRule>
    <cfRule type="expression" dxfId="87" priority="252">
      <formula>ISBLANK(AC41)</formula>
    </cfRule>
  </conditionalFormatting>
  <conditionalFormatting sqref="AC44">
    <cfRule type="expression" dxfId="86" priority="222">
      <formula>ISBLANK(AC44)</formula>
    </cfRule>
    <cfRule type="expression" priority="221" stopIfTrue="1">
      <formula>$AL$41=2</formula>
    </cfRule>
    <cfRule type="cellIs" priority="220" stopIfTrue="1" operator="greaterThan">
      <formula>0</formula>
    </cfRule>
  </conditionalFormatting>
  <conditionalFormatting sqref="AD83">
    <cfRule type="expression" dxfId="85" priority="199">
      <formula>ISBLANK(AD83)</formula>
    </cfRule>
  </conditionalFormatting>
  <conditionalFormatting sqref="AE47 AH47">
    <cfRule type="cellIs" priority="1233" operator="greaterThan">
      <formula>0</formula>
    </cfRule>
    <cfRule type="expression" dxfId="84" priority="1234">
      <formula>$AL$47=1</formula>
    </cfRule>
  </conditionalFormatting>
  <conditionalFormatting sqref="AE14:AH14 Z15:AC15 J16:M21">
    <cfRule type="expression" dxfId="83" priority="1354">
      <formula>$AO$14=2</formula>
    </cfRule>
    <cfRule type="expression" dxfId="82" priority="1355">
      <formula>$AO$14=1</formula>
    </cfRule>
  </conditionalFormatting>
  <conditionalFormatting sqref="AE17:AH17">
    <cfRule type="cellIs" dxfId="81" priority="68" operator="equal">
      <formula>0</formula>
    </cfRule>
    <cfRule type="expression" priority="67" stopIfTrue="1">
      <formula>$AL$17=1</formula>
    </cfRule>
  </conditionalFormatting>
  <conditionalFormatting sqref="AF31">
    <cfRule type="expression" dxfId="80" priority="5">
      <formula>ISBLANK($AF$31)</formula>
    </cfRule>
    <cfRule type="cellIs" dxfId="79" priority="6" operator="lessThan">
      <formula>$W$21</formula>
    </cfRule>
  </conditionalFormatting>
  <conditionalFormatting sqref="AF45 W45:Y45">
    <cfRule type="expression" priority="240" stopIfTrue="1">
      <formula>$AL$45=2</formula>
    </cfRule>
  </conditionalFormatting>
  <conditionalFormatting sqref="AF45">
    <cfRule type="cellIs" priority="239" stopIfTrue="1" operator="greaterThan">
      <formula>0</formula>
    </cfRule>
  </conditionalFormatting>
  <conditionalFormatting sqref="AF27:AH27 H27 U27:W27">
    <cfRule type="cellIs" priority="261" stopIfTrue="1" operator="greaterThan">
      <formula>0</formula>
    </cfRule>
  </conditionalFormatting>
  <conditionalFormatting sqref="AF27:AH27">
    <cfRule type="cellIs" dxfId="78" priority="215" operator="greaterThan">
      <formula>5</formula>
    </cfRule>
  </conditionalFormatting>
  <conditionalFormatting sqref="AF49:AH49">
    <cfRule type="expression" dxfId="77" priority="224">
      <formula>ISBLANK(AF49)</formula>
    </cfRule>
    <cfRule type="cellIs" priority="223" stopIfTrue="1" operator="notEqual">
      <formula>0</formula>
    </cfRule>
  </conditionalFormatting>
  <conditionalFormatting sqref="AF57:AH57">
    <cfRule type="expression" dxfId="76" priority="228">
      <formula>ISBLANK(AF57)</formula>
    </cfRule>
  </conditionalFormatting>
  <conditionalFormatting sqref="AI14 AD15 N16:N21 AA17">
    <cfRule type="expression" dxfId="75" priority="1358">
      <formula>$AO$14=3</formula>
    </cfRule>
  </conditionalFormatting>
  <conditionalFormatting sqref="AI14:AJ14 AD15:AE15 N16:O21 AA17:AB17">
    <cfRule type="expression" dxfId="74" priority="1351">
      <formula>$AL$14=1</formula>
    </cfRule>
  </conditionalFormatting>
  <dataValidations count="2">
    <dataValidation type="list" allowBlank="1" showInputMessage="1" showErrorMessage="1" sqref="M37:P37 M41:P41 M44:P44 M49:P49" xr:uid="{BBFC1B51-BAC7-408F-9A20-8A2F604EEA48}">
      <formula1>Material</formula1>
    </dataValidation>
    <dataValidation type="list" allowBlank="1" showInputMessage="1" showErrorMessage="1" sqref="W44:Y44 W49:Y49" xr:uid="{1EB110C4-B9A9-486B-998B-DDE0473B8F46}">
      <formula1>Shape</formula1>
    </dataValidation>
  </dataValidations>
  <pageMargins left="0.2" right="0.2" top="0.5" bottom="0.25" header="0.3" footer="0.3"/>
  <pageSetup orientation="portrait" r:id="rId1"/>
  <rowBreaks count="1" manualBreakCount="1">
    <brk id="53" max="16383" man="1"/>
  </rowBreaks>
  <drawing r:id="rId2"/>
  <legacyDrawing r:id="rId3"/>
  <extLst>
    <ext xmlns:x14="http://schemas.microsoft.com/office/spreadsheetml/2009/9/main" uri="{CCE6A557-97BC-4b89-ADB6-D9C93CAAB3DF}">
      <x14:dataValidations xmlns:xm="http://schemas.microsoft.com/office/excel/2006/main" count="2">
        <x14:dataValidation type="custom" allowBlank="1" showInputMessage="1" showErrorMessage="1" errorTitle="Workbook Locked" error="On the License Tab, accept the conditions to use this form._x000a__x000a_                     OR_x000a__x000a_This form has expired.  Please obtain the latest version of this form." xr:uid="{51C4120B-A3BE-410A-8B69-20C2F97E4756}">
          <x14:formula1>
            <xm:f>Tables!$B$8</xm:f>
          </x14:formula1>
          <xm:sqref>E7:X8 AE7:AJ8 F10 M10 U10 H27 F12 M12 U12 S14 J16:M20 Y23 AB23 AE23 AH23 L25:N25 Y25 AB25 AE14:AH14 U27:W27 AF27:AH27 H29 K29 P29:T29 M38:O39 W38:Y39 AC37 AC41 AC44 M42:O42 W42:Y42 M45:O45 W45:Y45 AF45:AH45 M47:O47 W47:Y47 AE47 AH47 AF49:AH50 W50:Y50 M50:O50 M56:O57 W56:Y57 AF57:AH57 AC6 M59:P59 W59:Z59 B62:AJ67 F76:Z78 F79:L79 P79:S79 X79:Z79 F80:Z80 F81:J81 AD83:AH83 M32:O35 W32:Y35 R32:T35 V14 Z15:AC15</xm:sqref>
        </x14:dataValidation>
        <x14:dataValidation type="list" allowBlank="1" showInputMessage="1" showErrorMessage="1" xr:uid="{6882A8A1-F30F-482D-9CAD-3857881F815B}">
          <x14:formula1>
            <xm:f>Tables!$D$2:$D$10</xm:f>
          </x14:formula1>
          <xm:sqref>M49 M44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D156"/>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38" width="2.6640625" style="23" customWidth="1"/>
    <col min="39" max="39" width="10.33203125" style="18" hidden="1" customWidth="1"/>
    <col min="40" max="40" width="8.5546875" style="18" hidden="1" customWidth="1"/>
    <col min="41" max="41" width="9.109375" style="18" hidden="1" customWidth="1"/>
    <col min="42" max="42" width="7.21875" style="18" hidden="1" customWidth="1"/>
    <col min="43" max="43" width="2.77734375" style="23" customWidth="1"/>
    <col min="44" max="44" width="2.77734375" style="19" customWidth="1"/>
    <col min="45" max="79" width="2.77734375" style="23" customWidth="1"/>
    <col min="80" max="82" width="0" style="23" hidden="1" customWidth="1"/>
    <col min="83" max="16384" width="2.77734375" style="23" hidden="1"/>
  </cols>
  <sheetData>
    <row r="1" spans="1:78" ht="15" customHeight="1" x14ac:dyDescent="0.3">
      <c r="N1" s="3"/>
      <c r="O1" s="3"/>
      <c r="P1" s="3"/>
      <c r="Q1" s="3"/>
      <c r="R1" s="20"/>
      <c r="T1" s="20"/>
      <c r="U1" s="20"/>
      <c r="V1" s="142" t="s">
        <v>150</v>
      </c>
      <c r="W1" s="142"/>
      <c r="X1" s="142"/>
      <c r="Y1" s="142"/>
      <c r="Z1" s="142"/>
      <c r="AA1" s="142"/>
      <c r="AB1" s="142"/>
      <c r="AC1" s="142"/>
      <c r="AD1" s="142"/>
      <c r="AE1" s="142"/>
      <c r="AF1" s="142"/>
      <c r="AG1" s="142"/>
      <c r="AH1" s="142"/>
      <c r="AI1" s="142"/>
      <c r="AJ1" s="142"/>
      <c r="AK1" s="142"/>
      <c r="AL1" s="142"/>
      <c r="AY1" s="20"/>
      <c r="AZ1" s="20"/>
      <c r="BA1" s="20"/>
      <c r="BB1" s="20"/>
      <c r="BC1" s="20"/>
      <c r="BD1" s="20"/>
      <c r="BE1" s="20"/>
      <c r="BF1" s="20"/>
      <c r="BG1" s="20"/>
      <c r="BI1" s="20"/>
      <c r="BJ1" s="142" t="str">
        <f>V1</f>
        <v>Form 3D - Bioretention Area
As-Built Certification Form</v>
      </c>
      <c r="BK1" s="142"/>
      <c r="BL1" s="142"/>
      <c r="BM1" s="142"/>
      <c r="BN1" s="142"/>
      <c r="BO1" s="142"/>
      <c r="BP1" s="142"/>
      <c r="BQ1" s="142"/>
      <c r="BR1" s="142"/>
      <c r="BS1" s="142"/>
      <c r="BT1" s="142"/>
      <c r="BU1" s="142"/>
      <c r="BV1" s="142"/>
      <c r="BW1" s="142"/>
      <c r="BX1" s="142"/>
      <c r="BY1" s="142"/>
      <c r="BZ1" s="20"/>
    </row>
    <row r="2" spans="1:78" ht="15" customHeight="1" x14ac:dyDescent="0.3">
      <c r="J2" s="3"/>
      <c r="K2" s="3"/>
      <c r="L2" s="3"/>
      <c r="M2" s="3"/>
      <c r="N2" s="3"/>
      <c r="O2" s="3"/>
      <c r="P2" s="3"/>
      <c r="Q2" s="3"/>
      <c r="R2" s="20"/>
      <c r="S2" s="20"/>
      <c r="T2" s="20"/>
      <c r="U2" s="20"/>
      <c r="V2" s="142"/>
      <c r="W2" s="142"/>
      <c r="X2" s="142"/>
      <c r="Y2" s="142"/>
      <c r="Z2" s="142"/>
      <c r="AA2" s="142"/>
      <c r="AB2" s="142"/>
      <c r="AC2" s="142"/>
      <c r="AD2" s="142"/>
      <c r="AE2" s="142"/>
      <c r="AF2" s="142"/>
      <c r="AG2" s="142"/>
      <c r="AH2" s="142"/>
      <c r="AI2" s="142"/>
      <c r="AJ2" s="142"/>
      <c r="AK2" s="142"/>
      <c r="AL2" s="142"/>
      <c r="AX2" s="20"/>
      <c r="AY2" s="20"/>
      <c r="AZ2" s="20"/>
      <c r="BA2" s="20"/>
      <c r="BB2" s="20"/>
      <c r="BC2" s="20"/>
      <c r="BD2" s="20"/>
      <c r="BE2" s="20"/>
      <c r="BF2" s="20"/>
      <c r="BG2" s="20"/>
      <c r="BH2" s="20"/>
      <c r="BI2" s="20"/>
      <c r="BJ2" s="142"/>
      <c r="BK2" s="142"/>
      <c r="BL2" s="142"/>
      <c r="BM2" s="142"/>
      <c r="BN2" s="142"/>
      <c r="BO2" s="142"/>
      <c r="BP2" s="142"/>
      <c r="BQ2" s="142"/>
      <c r="BR2" s="142"/>
      <c r="BS2" s="142"/>
      <c r="BT2" s="142"/>
      <c r="BU2" s="142"/>
      <c r="BV2" s="142"/>
      <c r="BW2" s="142"/>
      <c r="BX2" s="142"/>
      <c r="BY2" s="142"/>
      <c r="BZ2" s="20"/>
    </row>
    <row r="3" spans="1:78" ht="15" customHeight="1" x14ac:dyDescent="0.3">
      <c r="J3" s="3"/>
      <c r="K3" s="3"/>
      <c r="L3" s="3"/>
      <c r="M3" s="3"/>
      <c r="N3" s="3"/>
      <c r="O3" s="3"/>
      <c r="P3" s="3"/>
      <c r="Q3" s="3"/>
      <c r="R3" s="20"/>
      <c r="S3" s="20"/>
      <c r="T3" s="20"/>
      <c r="U3" s="20"/>
      <c r="V3" s="142"/>
      <c r="W3" s="142"/>
      <c r="X3" s="142"/>
      <c r="Y3" s="142"/>
      <c r="Z3" s="142"/>
      <c r="AA3" s="142"/>
      <c r="AB3" s="142"/>
      <c r="AC3" s="142"/>
      <c r="AD3" s="142"/>
      <c r="AE3" s="142"/>
      <c r="AF3" s="142"/>
      <c r="AG3" s="142"/>
      <c r="AH3" s="142"/>
      <c r="AI3" s="142"/>
      <c r="AJ3" s="142"/>
      <c r="AK3" s="142"/>
      <c r="AL3" s="142"/>
      <c r="AX3" s="20"/>
      <c r="AY3" s="20"/>
      <c r="AZ3" s="20"/>
      <c r="BA3" s="20"/>
      <c r="BB3" s="20"/>
      <c r="BC3" s="20"/>
      <c r="BD3" s="20"/>
      <c r="BE3" s="20"/>
      <c r="BF3" s="20"/>
      <c r="BG3" s="20"/>
      <c r="BH3" s="20"/>
      <c r="BI3" s="20"/>
      <c r="BJ3" s="142"/>
      <c r="BK3" s="142"/>
      <c r="BL3" s="142"/>
      <c r="BM3" s="142"/>
      <c r="BN3" s="142"/>
      <c r="BO3" s="142"/>
      <c r="BP3" s="142"/>
      <c r="BQ3" s="142"/>
      <c r="BR3" s="142"/>
      <c r="BS3" s="142"/>
      <c r="BT3" s="142"/>
      <c r="BU3" s="142"/>
      <c r="BV3" s="142"/>
      <c r="BW3" s="142"/>
      <c r="BX3" s="142"/>
      <c r="BY3" s="142"/>
      <c r="BZ3" s="20"/>
    </row>
    <row r="4" spans="1:78" ht="15" customHeight="1" x14ac:dyDescent="0.3">
      <c r="J4" s="3"/>
      <c r="K4" s="3"/>
      <c r="L4" s="3"/>
      <c r="M4" s="3"/>
      <c r="V4" s="142"/>
      <c r="W4" s="142"/>
      <c r="X4" s="142"/>
      <c r="Y4" s="142"/>
      <c r="Z4" s="142"/>
      <c r="AA4" s="142"/>
      <c r="AB4" s="142"/>
      <c r="AC4" s="142"/>
      <c r="AD4" s="142"/>
      <c r="AE4" s="142"/>
      <c r="AF4" s="142"/>
      <c r="AG4" s="142"/>
      <c r="AH4" s="142"/>
      <c r="AI4" s="142"/>
      <c r="AJ4" s="142"/>
      <c r="AK4" s="142"/>
      <c r="AL4" s="142"/>
      <c r="AX4" s="20"/>
      <c r="AY4" s="20"/>
      <c r="AZ4" s="20"/>
      <c r="BA4" s="20"/>
      <c r="BB4" s="20"/>
      <c r="BC4" s="20"/>
      <c r="BD4" s="20"/>
      <c r="BE4" s="20"/>
      <c r="BF4" s="20"/>
      <c r="BG4" s="20"/>
      <c r="BH4" s="20"/>
      <c r="BI4" s="20"/>
      <c r="BJ4" s="142"/>
      <c r="BK4" s="142"/>
      <c r="BL4" s="142"/>
      <c r="BM4" s="142"/>
      <c r="BN4" s="142"/>
      <c r="BO4" s="142"/>
      <c r="BP4" s="142"/>
      <c r="BQ4" s="142"/>
      <c r="BR4" s="142"/>
      <c r="BS4" s="142"/>
      <c r="BT4" s="142"/>
      <c r="BU4" s="142"/>
      <c r="BV4" s="142"/>
      <c r="BW4" s="142"/>
      <c r="BX4" s="142"/>
      <c r="BY4" s="142"/>
      <c r="BZ4" s="20"/>
    </row>
    <row r="5" spans="1:78" ht="4.95" customHeight="1" x14ac:dyDescent="0.3">
      <c r="J5" s="3"/>
      <c r="K5" s="3"/>
      <c r="L5" s="3"/>
      <c r="M5" s="3"/>
      <c r="N5" s="3"/>
      <c r="O5" s="3"/>
      <c r="P5" s="3"/>
      <c r="Q5" s="3"/>
      <c r="R5" s="21"/>
      <c r="S5" s="21"/>
      <c r="T5" s="21"/>
      <c r="U5" s="21"/>
      <c r="V5" s="21"/>
      <c r="W5" s="21"/>
      <c r="X5" s="21"/>
      <c r="Y5" s="21"/>
      <c r="Z5" s="21"/>
      <c r="AA5" s="21"/>
      <c r="AB5" s="21"/>
      <c r="AC5" s="21"/>
      <c r="AD5" s="21"/>
      <c r="AE5" s="21"/>
      <c r="AF5" s="21"/>
      <c r="AG5" s="21"/>
      <c r="AH5" s="21"/>
      <c r="AI5" s="21"/>
      <c r="AJ5" s="21"/>
      <c r="AK5" s="21"/>
    </row>
    <row r="6" spans="1:78" ht="15" customHeight="1" x14ac:dyDescent="0.3">
      <c r="A6" s="1" t="s">
        <v>0</v>
      </c>
      <c r="C6" s="1"/>
      <c r="D6" s="1"/>
      <c r="E6" s="1"/>
      <c r="F6" s="1"/>
      <c r="G6" s="1"/>
      <c r="H6" s="1"/>
      <c r="I6" s="1"/>
      <c r="AC6" s="2" t="s">
        <v>299</v>
      </c>
      <c r="AD6" s="190">
        <f>'Form 2D - Design'!AC6</f>
        <v>0</v>
      </c>
      <c r="AE6" s="190"/>
      <c r="AF6" s="190"/>
      <c r="AG6" s="190"/>
      <c r="AH6" s="190"/>
      <c r="AI6" s="190"/>
      <c r="AJ6" s="190"/>
      <c r="AK6" s="190"/>
      <c r="AM6" s="77">
        <f>LEN(AD6)</f>
        <v>1</v>
      </c>
      <c r="AR6" s="133" t="s">
        <v>43</v>
      </c>
      <c r="AS6" s="133"/>
      <c r="AT6" s="133"/>
      <c r="AU6" s="133"/>
      <c r="AV6" s="133"/>
      <c r="AW6" s="133"/>
      <c r="AX6" s="133"/>
      <c r="AY6" s="133"/>
      <c r="AZ6" s="133"/>
      <c r="BA6" s="133"/>
      <c r="BB6" s="133"/>
      <c r="BC6" s="133"/>
    </row>
    <row r="7" spans="1:78" ht="15" customHeight="1" x14ac:dyDescent="0.3">
      <c r="C7" s="2"/>
      <c r="D7" s="2" t="s">
        <v>1</v>
      </c>
      <c r="E7" s="141">
        <f>'Form 2D - Design'!$E$7</f>
        <v>0</v>
      </c>
      <c r="F7" s="141"/>
      <c r="G7" s="141"/>
      <c r="H7" s="141"/>
      <c r="I7" s="141"/>
      <c r="J7" s="141"/>
      <c r="K7" s="141"/>
      <c r="L7" s="141"/>
      <c r="M7" s="141"/>
      <c r="N7" s="141"/>
      <c r="O7" s="141"/>
      <c r="P7" s="141"/>
      <c r="Q7" s="141"/>
      <c r="R7" s="141"/>
      <c r="S7" s="141"/>
      <c r="T7" s="141"/>
      <c r="U7" s="141"/>
      <c r="V7" s="141"/>
      <c r="W7" s="141"/>
      <c r="X7" s="141"/>
      <c r="Y7" s="141"/>
      <c r="Z7" s="141"/>
      <c r="AE7" s="2" t="s">
        <v>12</v>
      </c>
      <c r="AF7" s="182"/>
      <c r="AG7" s="182"/>
      <c r="AH7" s="182"/>
      <c r="AI7" s="182"/>
      <c r="AJ7" s="182"/>
      <c r="AK7" s="182"/>
      <c r="AR7" s="133"/>
      <c r="AS7" s="133"/>
      <c r="AT7" s="133"/>
      <c r="AU7" s="133"/>
      <c r="AV7" s="133"/>
      <c r="AW7" s="133"/>
      <c r="AX7" s="133"/>
      <c r="AY7" s="133"/>
      <c r="AZ7" s="133"/>
      <c r="BA7" s="133"/>
      <c r="BB7" s="133"/>
      <c r="BC7" s="133"/>
    </row>
    <row r="8" spans="1:78" ht="15" customHeight="1" x14ac:dyDescent="0.3">
      <c r="C8" s="2"/>
      <c r="D8" s="2" t="s">
        <v>11</v>
      </c>
      <c r="E8" s="180">
        <f>'Form 2D - Design'!$E$8</f>
        <v>0</v>
      </c>
      <c r="F8" s="180"/>
      <c r="G8" s="180"/>
      <c r="H8" s="180"/>
      <c r="I8" s="180"/>
      <c r="J8" s="180"/>
      <c r="K8" s="180"/>
      <c r="L8" s="180"/>
      <c r="M8" s="180"/>
      <c r="N8" s="180"/>
      <c r="O8" s="180"/>
      <c r="P8" s="180"/>
      <c r="Q8" s="180"/>
      <c r="R8" s="180"/>
      <c r="S8" s="180"/>
      <c r="T8" s="180"/>
      <c r="U8" s="180"/>
      <c r="V8" s="180"/>
      <c r="W8" s="180"/>
      <c r="X8" s="180"/>
      <c r="Y8" s="180"/>
      <c r="Z8" s="180"/>
      <c r="AE8" s="2" t="s">
        <v>23</v>
      </c>
      <c r="AF8" s="140">
        <f>'Form 2D - Design'!AE8</f>
        <v>0</v>
      </c>
      <c r="AG8" s="140"/>
      <c r="AH8" s="140"/>
      <c r="AI8" s="140"/>
      <c r="AJ8" s="140"/>
      <c r="AK8" s="140"/>
      <c r="AR8" s="19">
        <v>1</v>
      </c>
      <c r="AS8" s="72" t="s">
        <v>48</v>
      </c>
      <c r="AX8" s="71"/>
      <c r="AY8" s="52"/>
      <c r="AZ8" s="52"/>
      <c r="BA8" s="52"/>
      <c r="BB8" s="52"/>
      <c r="BC8" s="52"/>
    </row>
    <row r="9" spans="1:78" ht="4.95" customHeight="1" x14ac:dyDescent="0.3">
      <c r="H9" s="2"/>
      <c r="I9" s="2"/>
      <c r="AV9" s="71"/>
      <c r="AW9" s="71"/>
      <c r="AY9" s="22"/>
      <c r="AZ9" s="22"/>
      <c r="BA9" s="22"/>
      <c r="BB9" s="22"/>
      <c r="BC9" s="22"/>
    </row>
    <row r="10" spans="1:78" ht="15" customHeight="1" x14ac:dyDescent="0.3">
      <c r="B10" s="23" t="s">
        <v>73</v>
      </c>
      <c r="G10" s="120"/>
      <c r="H10" s="23" t="s">
        <v>70</v>
      </c>
      <c r="N10" s="120"/>
      <c r="O10" s="23" t="s">
        <v>71</v>
      </c>
      <c r="W10" s="4"/>
      <c r="X10" s="120"/>
      <c r="Y10" s="23" t="str">
        <f>Tables!F24</f>
        <v xml:space="preserve"> O&amp;M Agreement</v>
      </c>
      <c r="AF10" s="120"/>
      <c r="AG10" s="23" t="s">
        <v>396</v>
      </c>
      <c r="AS10" s="4" t="s">
        <v>50</v>
      </c>
      <c r="AT10" s="72" t="s">
        <v>202</v>
      </c>
      <c r="AU10" s="71"/>
      <c r="AV10" s="71"/>
      <c r="AW10" s="71"/>
      <c r="AY10" s="22"/>
      <c r="AZ10" s="22"/>
      <c r="BA10" s="22"/>
      <c r="BB10" s="22"/>
      <c r="BC10" s="22"/>
    </row>
    <row r="11" spans="1:78" ht="15" customHeight="1" x14ac:dyDescent="0.3">
      <c r="AR11" s="23"/>
      <c r="AS11" s="4" t="s">
        <v>51</v>
      </c>
      <c r="AT11" s="72" t="s">
        <v>49</v>
      </c>
      <c r="AU11" s="71"/>
      <c r="AY11" s="22"/>
      <c r="AZ11" s="22"/>
      <c r="BA11" s="22"/>
      <c r="BB11" s="22"/>
      <c r="BC11" s="22"/>
    </row>
    <row r="12" spans="1:78" ht="15" customHeight="1" x14ac:dyDescent="0.3">
      <c r="A12" s="176" t="s">
        <v>153</v>
      </c>
      <c r="B12" s="176"/>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6"/>
      <c r="AL12" s="176"/>
      <c r="AR12" s="19">
        <v>2</v>
      </c>
      <c r="AS12" s="72" t="s">
        <v>304</v>
      </c>
      <c r="AU12" s="71"/>
      <c r="AX12" s="71"/>
      <c r="AY12" s="52"/>
      <c r="AZ12" s="52"/>
      <c r="BA12" s="52"/>
      <c r="BB12" s="52"/>
      <c r="BC12" s="52"/>
    </row>
    <row r="13" spans="1:78" ht="15" customHeight="1" x14ac:dyDescent="0.3">
      <c r="B13" s="1" t="s">
        <v>34</v>
      </c>
      <c r="C13" s="1"/>
      <c r="D13" s="1"/>
      <c r="E13" s="1"/>
      <c r="F13" s="1"/>
      <c r="G13" s="1"/>
      <c r="I13" s="1"/>
      <c r="J13" s="1"/>
      <c r="K13" s="1"/>
      <c r="L13" s="1"/>
      <c r="M13" s="1"/>
      <c r="N13" s="1"/>
      <c r="O13" s="1"/>
      <c r="P13" s="1"/>
      <c r="Q13" s="1"/>
      <c r="R13" s="1"/>
      <c r="S13" s="63"/>
      <c r="U13" s="1" t="s">
        <v>35</v>
      </c>
      <c r="V13" s="1"/>
      <c r="W13" s="1"/>
      <c r="X13" s="1"/>
      <c r="Y13" s="1"/>
      <c r="Z13" s="1"/>
      <c r="AA13" s="1"/>
      <c r="AB13" s="1"/>
      <c r="AD13" s="1"/>
      <c r="AE13" s="1"/>
      <c r="AF13" s="1"/>
      <c r="AG13" s="1"/>
      <c r="AI13" s="47"/>
      <c r="AJ13" s="47"/>
      <c r="AS13" s="4" t="s">
        <v>50</v>
      </c>
      <c r="AT13" s="71" t="s">
        <v>236</v>
      </c>
      <c r="AX13" s="71"/>
      <c r="AY13" s="52"/>
      <c r="AZ13" s="52"/>
      <c r="BA13" s="52"/>
      <c r="BB13" s="52"/>
      <c r="BC13" s="52"/>
    </row>
    <row r="14" spans="1:78" ht="14.55" customHeight="1" x14ac:dyDescent="0.3">
      <c r="M14" s="2" t="s">
        <v>132</v>
      </c>
      <c r="N14" s="183">
        <f>'Form 2D - Design'!L25</f>
        <v>0</v>
      </c>
      <c r="O14" s="183"/>
      <c r="P14" s="183"/>
      <c r="Q14" s="23" t="s">
        <v>133</v>
      </c>
      <c r="S14" s="63"/>
      <c r="AF14" s="2" t="s">
        <v>132</v>
      </c>
      <c r="AG14" s="134"/>
      <c r="AH14" s="134"/>
      <c r="AI14" s="134"/>
      <c r="AJ14" s="23" t="s">
        <v>133</v>
      </c>
      <c r="AT14" s="71" t="s">
        <v>237</v>
      </c>
      <c r="AV14" s="71"/>
      <c r="AW14" s="71"/>
      <c r="AX14" s="46"/>
      <c r="AY14" s="51"/>
      <c r="AZ14" s="51"/>
      <c r="BA14" s="51"/>
      <c r="BB14" s="51"/>
      <c r="BC14" s="51"/>
    </row>
    <row r="15" spans="1:78" ht="14.55" customHeight="1" x14ac:dyDescent="0.3">
      <c r="M15" s="2" t="s">
        <v>131</v>
      </c>
      <c r="N15" s="179">
        <f>'Form 2D - Design'!U27</f>
        <v>0</v>
      </c>
      <c r="O15" s="179"/>
      <c r="P15" s="179"/>
      <c r="Q15" s="23" t="s">
        <v>29</v>
      </c>
      <c r="S15" s="63"/>
      <c r="AF15" s="2" t="s">
        <v>131</v>
      </c>
      <c r="AG15" s="135"/>
      <c r="AH15" s="135"/>
      <c r="AI15" s="135"/>
      <c r="AJ15" s="23" t="s">
        <v>29</v>
      </c>
      <c r="AR15" s="23"/>
      <c r="AS15" s="4" t="s">
        <v>51</v>
      </c>
      <c r="AT15" s="72" t="s">
        <v>55</v>
      </c>
      <c r="AV15" s="71"/>
      <c r="AW15" s="71"/>
      <c r="AX15" s="46"/>
      <c r="AY15" s="51"/>
      <c r="AZ15" s="51"/>
      <c r="BA15" s="51"/>
      <c r="BB15" s="51"/>
      <c r="BC15" s="51"/>
    </row>
    <row r="16" spans="1:78" ht="4.95" customHeight="1" x14ac:dyDescent="0.3">
      <c r="S16" s="63"/>
      <c r="AT16" s="57"/>
      <c r="AU16" s="46"/>
      <c r="AV16" s="46"/>
      <c r="AW16" s="46"/>
      <c r="AX16" s="57"/>
      <c r="AY16" s="60"/>
      <c r="AZ16" s="60"/>
      <c r="BA16" s="60"/>
      <c r="BB16" s="60"/>
      <c r="BC16" s="60"/>
    </row>
    <row r="17" spans="2:55" ht="14.55" customHeight="1" x14ac:dyDescent="0.3">
      <c r="M17" s="2" t="s">
        <v>194</v>
      </c>
      <c r="N17" s="121">
        <f>'Form 2D - Design'!Y25</f>
        <v>0</v>
      </c>
      <c r="O17" s="23" t="s">
        <v>74</v>
      </c>
      <c r="P17" s="2"/>
      <c r="Q17" s="121">
        <f>'Form 2D - Design'!AB25</f>
        <v>0</v>
      </c>
      <c r="R17" s="23" t="s">
        <v>75</v>
      </c>
      <c r="S17" s="63"/>
      <c r="AF17" s="2" t="s">
        <v>194</v>
      </c>
      <c r="AG17" s="120"/>
      <c r="AH17" s="23" t="s">
        <v>74</v>
      </c>
      <c r="AI17" s="2"/>
      <c r="AJ17" s="120"/>
      <c r="AK17" s="23" t="s">
        <v>75</v>
      </c>
      <c r="AM17" s="77">
        <f>IF(AND(ISBLANK(AG17),ISBLANK(AJ17)),1,2)</f>
        <v>1</v>
      </c>
      <c r="AS17" s="4" t="s">
        <v>62</v>
      </c>
      <c r="AT17" s="71" t="s">
        <v>238</v>
      </c>
      <c r="AU17" s="46"/>
      <c r="AV17" s="46"/>
      <c r="AW17" s="46"/>
      <c r="AY17" s="22"/>
      <c r="AZ17" s="22"/>
      <c r="BA17" s="22"/>
      <c r="BB17" s="22"/>
      <c r="BC17" s="22"/>
    </row>
    <row r="18" spans="2:55" ht="4.95" customHeight="1" x14ac:dyDescent="0.3">
      <c r="S18" s="63"/>
      <c r="AI18" s="8"/>
      <c r="AJ18" s="8"/>
      <c r="AU18" s="57"/>
      <c r="AV18" s="57"/>
      <c r="AW18" s="57"/>
      <c r="AY18" s="22"/>
      <c r="AZ18" s="22"/>
      <c r="BA18" s="22"/>
      <c r="BB18" s="22"/>
      <c r="BC18" s="22"/>
    </row>
    <row r="19" spans="2:55" ht="14.55" customHeight="1" x14ac:dyDescent="0.3">
      <c r="E19" s="2" t="s">
        <v>135</v>
      </c>
      <c r="F19" s="121">
        <f>'Form 2D - Design'!H29</f>
        <v>0</v>
      </c>
      <c r="G19" s="23" t="s">
        <v>74</v>
      </c>
      <c r="H19" s="2"/>
      <c r="I19" s="121">
        <f>'Form 2D - Design'!K29</f>
        <v>0</v>
      </c>
      <c r="J19" s="23" t="s">
        <v>75</v>
      </c>
      <c r="M19" s="2" t="s">
        <v>134</v>
      </c>
      <c r="N19" s="178">
        <f>'Form 2D - Design'!P29</f>
        <v>0</v>
      </c>
      <c r="O19" s="178"/>
      <c r="P19" s="178"/>
      <c r="Q19" s="178"/>
      <c r="R19" s="178"/>
      <c r="S19" s="63"/>
      <c r="X19" s="2" t="s">
        <v>135</v>
      </c>
      <c r="Y19" s="120"/>
      <c r="Z19" s="23" t="s">
        <v>74</v>
      </c>
      <c r="AA19" s="2"/>
      <c r="AB19" s="120"/>
      <c r="AC19" s="23" t="s">
        <v>75</v>
      </c>
      <c r="AF19" s="2" t="s">
        <v>134</v>
      </c>
      <c r="AG19" s="137"/>
      <c r="AH19" s="137"/>
      <c r="AI19" s="137"/>
      <c r="AJ19" s="137"/>
      <c r="AK19" s="137"/>
      <c r="AM19" s="77">
        <f>IF(AND(ISBLANK(Y19),ISBLANK(AB19)),1,2)</f>
        <v>1</v>
      </c>
      <c r="AN19" s="77">
        <f>IF(ISBLANK(Y19),1,2)</f>
        <v>1</v>
      </c>
      <c r="AR19" s="23"/>
      <c r="AT19" s="71" t="s">
        <v>239</v>
      </c>
      <c r="AX19" s="75"/>
      <c r="AY19" s="62"/>
      <c r="AZ19" s="62"/>
      <c r="BA19" s="62"/>
      <c r="BB19" s="62"/>
      <c r="BC19" s="62"/>
    </row>
    <row r="20" spans="2:55" ht="4.95" customHeight="1" x14ac:dyDescent="0.3">
      <c r="S20" s="63"/>
      <c r="AI20" s="8"/>
      <c r="AJ20" s="8"/>
      <c r="AX20" s="75"/>
      <c r="AY20" s="62"/>
      <c r="AZ20" s="62"/>
      <c r="BA20" s="62"/>
      <c r="BB20" s="62"/>
      <c r="BC20" s="62"/>
    </row>
    <row r="21" spans="2:55" ht="14.55" customHeight="1" x14ac:dyDescent="0.3">
      <c r="B21" s="58" t="s">
        <v>144</v>
      </c>
      <c r="J21" s="4" t="s">
        <v>136</v>
      </c>
      <c r="N21" s="23" t="s">
        <v>137</v>
      </c>
      <c r="S21" s="63"/>
      <c r="U21" s="58" t="s">
        <v>144</v>
      </c>
      <c r="AC21" s="4" t="s">
        <v>136</v>
      </c>
      <c r="AG21" s="23" t="s">
        <v>137</v>
      </c>
      <c r="AR21" s="23"/>
      <c r="AS21" s="4" t="s">
        <v>63</v>
      </c>
      <c r="AT21" s="72" t="s">
        <v>56</v>
      </c>
      <c r="AV21" s="75"/>
      <c r="AW21" s="75"/>
      <c r="AX21" s="71"/>
      <c r="AY21" s="52"/>
      <c r="AZ21" s="52"/>
      <c r="BA21" s="52"/>
      <c r="BB21" s="52"/>
      <c r="BC21" s="52"/>
    </row>
    <row r="22" spans="2:55" ht="14.55" customHeight="1" x14ac:dyDescent="0.3">
      <c r="H22" s="2" t="s">
        <v>158</v>
      </c>
      <c r="I22" s="183">
        <f>'Form 2D - Design'!M32</f>
        <v>0</v>
      </c>
      <c r="J22" s="184"/>
      <c r="K22" s="184"/>
      <c r="L22" s="23" t="s">
        <v>28</v>
      </c>
      <c r="N22" s="183">
        <f>'Form 2D - Design'!R32</f>
        <v>0</v>
      </c>
      <c r="O22" s="184"/>
      <c r="P22" s="184"/>
      <c r="Q22" s="23" t="s">
        <v>29</v>
      </c>
      <c r="S22" s="63"/>
      <c r="AA22" s="2" t="s">
        <v>158</v>
      </c>
      <c r="AB22" s="134"/>
      <c r="AC22" s="134"/>
      <c r="AD22" s="134"/>
      <c r="AE22" s="23" t="s">
        <v>28</v>
      </c>
      <c r="AG22" s="134"/>
      <c r="AH22" s="134"/>
      <c r="AI22" s="134"/>
      <c r="AJ22" s="23" t="s">
        <v>29</v>
      </c>
      <c r="AR22" s="23"/>
      <c r="AS22" s="4" t="s">
        <v>61</v>
      </c>
      <c r="AT22" s="23" t="s">
        <v>303</v>
      </c>
      <c r="AV22" s="75"/>
      <c r="AW22" s="75"/>
      <c r="AX22" s="71"/>
      <c r="AY22" s="52"/>
      <c r="AZ22" s="52"/>
      <c r="BA22" s="52"/>
      <c r="BB22" s="52"/>
      <c r="BC22" s="52"/>
    </row>
    <row r="23" spans="2:55" ht="14.55" customHeight="1" x14ac:dyDescent="0.3">
      <c r="H23" s="2" t="s">
        <v>159</v>
      </c>
      <c r="I23" s="183">
        <f>'Form 2D - Design'!M33</f>
        <v>0</v>
      </c>
      <c r="J23" s="184"/>
      <c r="K23" s="184"/>
      <c r="L23" s="23" t="s">
        <v>28</v>
      </c>
      <c r="N23" s="183">
        <f>'Form 2D - Design'!R33</f>
        <v>0</v>
      </c>
      <c r="O23" s="184"/>
      <c r="P23" s="184"/>
      <c r="Q23" s="23" t="s">
        <v>29</v>
      </c>
      <c r="S23" s="63"/>
      <c r="AA23" s="2" t="s">
        <v>159</v>
      </c>
      <c r="AB23" s="135"/>
      <c r="AC23" s="135"/>
      <c r="AD23" s="135"/>
      <c r="AE23" s="23" t="s">
        <v>28</v>
      </c>
      <c r="AG23" s="135"/>
      <c r="AH23" s="135"/>
      <c r="AI23" s="135"/>
      <c r="AJ23" s="23" t="s">
        <v>29</v>
      </c>
      <c r="AR23" s="19">
        <v>3</v>
      </c>
      <c r="AS23" s="72" t="s">
        <v>52</v>
      </c>
      <c r="AV23" s="71"/>
      <c r="AW23" s="71"/>
      <c r="AX23" s="46"/>
      <c r="AY23" s="51"/>
      <c r="AZ23" s="51"/>
      <c r="BA23" s="51"/>
      <c r="BB23" s="51"/>
      <c r="BC23" s="51"/>
    </row>
    <row r="24" spans="2:55" ht="14.55" customHeight="1" x14ac:dyDescent="0.3">
      <c r="H24" s="2" t="s">
        <v>399</v>
      </c>
      <c r="I24" s="179">
        <f>'Form 2D - Design'!M34</f>
        <v>0</v>
      </c>
      <c r="J24" s="179"/>
      <c r="K24" s="179"/>
      <c r="L24" s="23" t="s">
        <v>28</v>
      </c>
      <c r="N24" s="179">
        <f>'Form 2D - Design'!R34</f>
        <v>0</v>
      </c>
      <c r="O24" s="179"/>
      <c r="P24" s="179"/>
      <c r="Q24" s="23" t="s">
        <v>29</v>
      </c>
      <c r="S24" s="63"/>
      <c r="AA24" s="2" t="s">
        <v>399</v>
      </c>
      <c r="AB24" s="135"/>
      <c r="AC24" s="135"/>
      <c r="AD24" s="135"/>
      <c r="AE24" s="23" t="s">
        <v>28</v>
      </c>
      <c r="AG24" s="135"/>
      <c r="AH24" s="135"/>
      <c r="AI24" s="135"/>
      <c r="AJ24" s="23" t="s">
        <v>29</v>
      </c>
      <c r="AS24" s="4" t="s">
        <v>50</v>
      </c>
      <c r="AT24" s="71" t="s">
        <v>305</v>
      </c>
      <c r="AV24" s="71"/>
      <c r="AW24" s="71"/>
      <c r="AX24" s="46"/>
      <c r="AY24" s="51"/>
      <c r="AZ24" s="51"/>
      <c r="BA24" s="51"/>
      <c r="BB24" s="51"/>
      <c r="BC24" s="51"/>
    </row>
    <row r="25" spans="2:55" ht="14.55" customHeight="1" x14ac:dyDescent="0.3">
      <c r="H25" s="2" t="s">
        <v>160</v>
      </c>
      <c r="I25" s="183">
        <f>'Form 2D - Design'!M35</f>
        <v>0</v>
      </c>
      <c r="J25" s="184"/>
      <c r="K25" s="184"/>
      <c r="L25" s="23" t="s">
        <v>28</v>
      </c>
      <c r="N25" s="183">
        <f>'Form 2D - Design'!R35</f>
        <v>0</v>
      </c>
      <c r="O25" s="184"/>
      <c r="P25" s="184"/>
      <c r="Q25" s="23" t="s">
        <v>29</v>
      </c>
      <c r="S25" s="63"/>
      <c r="AA25" s="2" t="s">
        <v>160</v>
      </c>
      <c r="AB25" s="135"/>
      <c r="AC25" s="135"/>
      <c r="AD25" s="135"/>
      <c r="AE25" s="23" t="s">
        <v>28</v>
      </c>
      <c r="AG25" s="135"/>
      <c r="AH25" s="135"/>
      <c r="AI25" s="135"/>
      <c r="AJ25" s="23" t="s">
        <v>29</v>
      </c>
      <c r="AR25" s="23"/>
      <c r="AS25" s="4" t="s">
        <v>51</v>
      </c>
      <c r="AT25" s="72" t="s">
        <v>58</v>
      </c>
      <c r="AV25" s="71"/>
      <c r="AW25" s="71"/>
      <c r="AX25" s="46"/>
      <c r="AY25" s="51"/>
      <c r="AZ25" s="51"/>
      <c r="BA25" s="51"/>
      <c r="BB25" s="51"/>
      <c r="BC25" s="51"/>
    </row>
    <row r="26" spans="2:55" ht="4.95" customHeight="1" x14ac:dyDescent="0.3">
      <c r="S26" s="63"/>
      <c r="AI26" s="8"/>
      <c r="AJ26" s="8"/>
      <c r="AV26" s="46"/>
      <c r="AW26" s="46"/>
    </row>
    <row r="27" spans="2:55" ht="14.55" customHeight="1" x14ac:dyDescent="0.3">
      <c r="B27" s="58" t="s">
        <v>141</v>
      </c>
      <c r="K27" s="121">
        <f>'Form 2D - Design'!AC37</f>
        <v>0</v>
      </c>
      <c r="L27" s="23" t="s">
        <v>145</v>
      </c>
      <c r="S27" s="63"/>
      <c r="U27" s="58" t="s">
        <v>141</v>
      </c>
      <c r="AD27" s="120"/>
      <c r="AE27" s="23" t="s">
        <v>145</v>
      </c>
      <c r="AM27" s="77">
        <f>IF(ISBLANK(AD27),1,2)</f>
        <v>1</v>
      </c>
      <c r="AT27" s="76" t="s">
        <v>65</v>
      </c>
      <c r="AU27" s="72" t="s">
        <v>59</v>
      </c>
      <c r="AW27" s="46"/>
    </row>
    <row r="28" spans="2:55" ht="14.55" customHeight="1" x14ac:dyDescent="0.3">
      <c r="E28" s="2" t="s">
        <v>104</v>
      </c>
      <c r="F28" s="178">
        <f>'Form 2D - Design'!M37</f>
        <v>0</v>
      </c>
      <c r="G28" s="178"/>
      <c r="H28" s="178"/>
      <c r="I28" s="178"/>
      <c r="S28" s="63"/>
      <c r="X28" s="2" t="s">
        <v>104</v>
      </c>
      <c r="Y28" s="137"/>
      <c r="Z28" s="137"/>
      <c r="AA28" s="137"/>
      <c r="AB28" s="137"/>
      <c r="AM28" s="77">
        <f>IF(ISBLANK(Y28),1,2)</f>
        <v>1</v>
      </c>
      <c r="AR28" s="23"/>
      <c r="AT28" s="76" t="s">
        <v>65</v>
      </c>
      <c r="AU28" s="72" t="s">
        <v>53</v>
      </c>
    </row>
    <row r="29" spans="2:55" ht="14.55" customHeight="1" x14ac:dyDescent="0.3">
      <c r="I29" s="23" t="s">
        <v>140</v>
      </c>
      <c r="N29" s="23" t="s">
        <v>27</v>
      </c>
      <c r="S29" s="63"/>
      <c r="AB29" s="23" t="s">
        <v>140</v>
      </c>
      <c r="AG29" s="23" t="s">
        <v>27</v>
      </c>
      <c r="AT29" s="76" t="s">
        <v>65</v>
      </c>
      <c r="AU29" s="23" t="s">
        <v>54</v>
      </c>
    </row>
    <row r="30" spans="2:55" ht="14.55" customHeight="1" x14ac:dyDescent="0.3">
      <c r="H30" s="2" t="s">
        <v>143</v>
      </c>
      <c r="I30" s="183">
        <f>'Form 2D - Design'!W38</f>
        <v>0</v>
      </c>
      <c r="J30" s="184"/>
      <c r="K30" s="184"/>
      <c r="L30" s="23" t="s">
        <v>28</v>
      </c>
      <c r="N30" s="183">
        <f>'Form 2D - Design'!M38</f>
        <v>0</v>
      </c>
      <c r="O30" s="184"/>
      <c r="P30" s="184"/>
      <c r="Q30" s="23" t="s">
        <v>29</v>
      </c>
      <c r="S30" s="63"/>
      <c r="AA30" s="2" t="s">
        <v>143</v>
      </c>
      <c r="AB30" s="134"/>
      <c r="AC30" s="134"/>
      <c r="AD30" s="134"/>
      <c r="AE30" s="23" t="s">
        <v>28</v>
      </c>
      <c r="AG30" s="134"/>
      <c r="AH30" s="134"/>
      <c r="AI30" s="134"/>
      <c r="AJ30" s="23" t="s">
        <v>29</v>
      </c>
      <c r="AR30" s="23"/>
      <c r="AT30" s="76" t="s">
        <v>65</v>
      </c>
      <c r="AU30" s="23" t="str">
        <f>Tables!F24</f>
        <v xml:space="preserve"> O&amp;M Agreement</v>
      </c>
    </row>
    <row r="31" spans="2:55" ht="14.55" customHeight="1" x14ac:dyDescent="0.3">
      <c r="H31" s="2" t="s">
        <v>142</v>
      </c>
      <c r="I31" s="179">
        <f>'Form 2D - Design'!W39</f>
        <v>0</v>
      </c>
      <c r="J31" s="181"/>
      <c r="K31" s="181"/>
      <c r="L31" s="23" t="s">
        <v>28</v>
      </c>
      <c r="N31" s="179">
        <f>'Form 2D - Design'!M39</f>
        <v>0</v>
      </c>
      <c r="O31" s="181"/>
      <c r="P31" s="181"/>
      <c r="Q31" s="23" t="s">
        <v>29</v>
      </c>
      <c r="S31" s="63"/>
      <c r="AA31" s="2" t="s">
        <v>142</v>
      </c>
      <c r="AB31" s="135"/>
      <c r="AC31" s="135"/>
      <c r="AD31" s="135"/>
      <c r="AE31" s="23" t="s">
        <v>28</v>
      </c>
      <c r="AG31" s="135"/>
      <c r="AH31" s="135"/>
      <c r="AI31" s="135"/>
      <c r="AJ31" s="23" t="s">
        <v>29</v>
      </c>
      <c r="AR31" s="19">
        <v>4</v>
      </c>
      <c r="AS31" s="72" t="str">
        <f>"Form 3D – Bioretention Area As-built Certification Form shall be approved by the "&amp;Tables!F23&amp;" prior to:"</f>
        <v>Form 3D – Bioretention Area As-built Certification Form shall be approved by the City prior to:</v>
      </c>
    </row>
    <row r="32" spans="2:55" ht="4.95" customHeight="1" x14ac:dyDescent="0.3">
      <c r="S32" s="63"/>
      <c r="AI32" s="8"/>
      <c r="AJ32" s="8"/>
      <c r="AR32" s="23"/>
      <c r="AU32" s="75"/>
    </row>
    <row r="33" spans="2:46" ht="14.55" customHeight="1" x14ac:dyDescent="0.3">
      <c r="B33" s="58" t="s">
        <v>157</v>
      </c>
      <c r="K33" s="121">
        <f>'Form 2D - Design'!AC41</f>
        <v>0</v>
      </c>
      <c r="L33" s="23" t="s">
        <v>169</v>
      </c>
      <c r="S33" s="63"/>
      <c r="U33" s="58" t="s">
        <v>157</v>
      </c>
      <c r="AD33" s="120"/>
      <c r="AE33" s="23" t="s">
        <v>169</v>
      </c>
      <c r="AK33" s="1"/>
      <c r="AM33" s="77">
        <f>IF(ISBLANK(AD33),1,2)</f>
        <v>1</v>
      </c>
      <c r="AS33" s="4" t="s">
        <v>50</v>
      </c>
      <c r="AT33" s="72" t="s">
        <v>60</v>
      </c>
    </row>
    <row r="34" spans="2:46" ht="4.95" customHeight="1" x14ac:dyDescent="0.3">
      <c r="S34" s="63"/>
    </row>
    <row r="35" spans="2:46" ht="14.55" customHeight="1" x14ac:dyDescent="0.3">
      <c r="E35" s="2" t="s">
        <v>104</v>
      </c>
      <c r="F35" s="178">
        <f>'Form 2D - Design'!M41</f>
        <v>0</v>
      </c>
      <c r="G35" s="178"/>
      <c r="H35" s="178"/>
      <c r="I35" s="178"/>
      <c r="N35" s="2" t="s">
        <v>103</v>
      </c>
      <c r="O35" s="183">
        <f>'Form 2D - Design'!M42</f>
        <v>0</v>
      </c>
      <c r="P35" s="183"/>
      <c r="Q35" s="183"/>
      <c r="R35" s="23" t="s">
        <v>28</v>
      </c>
      <c r="S35" s="63"/>
      <c r="X35" s="2" t="s">
        <v>104</v>
      </c>
      <c r="Y35" s="137"/>
      <c r="Z35" s="137"/>
      <c r="AA35" s="137"/>
      <c r="AB35" s="137"/>
      <c r="AF35" s="2" t="s">
        <v>103</v>
      </c>
      <c r="AG35" s="134"/>
      <c r="AH35" s="134"/>
      <c r="AI35" s="134"/>
      <c r="AJ35" s="23" t="s">
        <v>28</v>
      </c>
      <c r="AM35" s="77">
        <f>IF(ISBLANK(Y35),1,2)</f>
        <v>1</v>
      </c>
      <c r="AR35" s="23"/>
      <c r="AS35" s="4" t="s">
        <v>51</v>
      </c>
      <c r="AT35" s="72" t="s">
        <v>57</v>
      </c>
    </row>
    <row r="36" spans="2:46" ht="14.55" customHeight="1" x14ac:dyDescent="0.3">
      <c r="E36" s="2"/>
      <c r="N36" s="2" t="s">
        <v>168</v>
      </c>
      <c r="O36" s="188">
        <f>'Form 2D - Design'!W42</f>
        <v>0</v>
      </c>
      <c r="P36" s="188"/>
      <c r="Q36" s="188"/>
      <c r="R36" s="23" t="s">
        <v>139</v>
      </c>
      <c r="S36" s="63"/>
      <c r="AF36" s="2" t="s">
        <v>168</v>
      </c>
      <c r="AG36" s="136"/>
      <c r="AH36" s="136"/>
      <c r="AI36" s="136"/>
      <c r="AJ36" s="23" t="s">
        <v>139</v>
      </c>
    </row>
    <row r="37" spans="2:46" ht="4.95" customHeight="1" x14ac:dyDescent="0.3">
      <c r="S37" s="63"/>
      <c r="AR37" s="23"/>
    </row>
    <row r="38" spans="2:46" ht="14.55" customHeight="1" x14ac:dyDescent="0.3">
      <c r="B38" s="58" t="s">
        <v>161</v>
      </c>
      <c r="K38" s="121">
        <f>'Form 2D - Design'!AC44</f>
        <v>0</v>
      </c>
      <c r="L38" s="23" t="s">
        <v>200</v>
      </c>
      <c r="S38" s="63"/>
      <c r="U38" s="58" t="s">
        <v>161</v>
      </c>
      <c r="AD38" s="120"/>
      <c r="AE38" s="23" t="s">
        <v>200</v>
      </c>
      <c r="AM38" s="77">
        <f>IF(ISBLANK(AD38),1,2)</f>
        <v>1</v>
      </c>
    </row>
    <row r="39" spans="2:46" ht="4.95" customHeight="1" x14ac:dyDescent="0.3">
      <c r="B39" s="58"/>
      <c r="M39" s="2"/>
      <c r="N39" s="4"/>
      <c r="P39" s="2"/>
      <c r="Q39" s="4"/>
      <c r="S39" s="63"/>
      <c r="U39" s="58"/>
      <c r="AR39" s="23"/>
    </row>
    <row r="40" spans="2:46" ht="14.55" customHeight="1" x14ac:dyDescent="0.3">
      <c r="B40" s="58"/>
      <c r="M40" s="2" t="s">
        <v>101</v>
      </c>
      <c r="N40" s="121">
        <f>'Form 2D - Design'!AE47</f>
        <v>0</v>
      </c>
      <c r="O40" s="23" t="s">
        <v>74</v>
      </c>
      <c r="P40" s="2"/>
      <c r="Q40" s="121">
        <f>'Form 2D - Design'!AH47</f>
        <v>0</v>
      </c>
      <c r="R40" s="23" t="s">
        <v>75</v>
      </c>
      <c r="S40" s="63"/>
      <c r="U40" s="58"/>
      <c r="AF40" s="2" t="s">
        <v>101</v>
      </c>
      <c r="AG40" s="120"/>
      <c r="AH40" s="23" t="s">
        <v>74</v>
      </c>
      <c r="AI40" s="2"/>
      <c r="AJ40" s="120"/>
      <c r="AK40" s="23" t="s">
        <v>75</v>
      </c>
      <c r="AM40" s="77">
        <f>IF(AND(ISBLANK(AG40),ISBLANK(AJ40)),1,2)</f>
        <v>1</v>
      </c>
      <c r="AR40" s="23"/>
    </row>
    <row r="41" spans="2:46" ht="4.95" customHeight="1" x14ac:dyDescent="0.3">
      <c r="B41" s="58"/>
      <c r="M41" s="2"/>
      <c r="N41" s="4"/>
      <c r="P41" s="2"/>
      <c r="Q41" s="61"/>
      <c r="S41" s="63"/>
      <c r="U41" s="58"/>
      <c r="AF41" s="2"/>
      <c r="AG41" s="4"/>
      <c r="AI41" s="2"/>
      <c r="AJ41" s="61"/>
      <c r="AR41" s="23"/>
    </row>
    <row r="42" spans="2:46" ht="14.55" customHeight="1" x14ac:dyDescent="0.3">
      <c r="E42" s="2" t="s">
        <v>104</v>
      </c>
      <c r="F42" s="178">
        <f>'Form 2D - Design'!M44</f>
        <v>0</v>
      </c>
      <c r="G42" s="178"/>
      <c r="H42" s="178"/>
      <c r="I42" s="178"/>
      <c r="N42" s="2" t="s">
        <v>105</v>
      </c>
      <c r="O42" s="178">
        <f>'Form 2D - Design'!W44</f>
        <v>0</v>
      </c>
      <c r="P42" s="178"/>
      <c r="Q42" s="178"/>
      <c r="S42" s="63"/>
      <c r="X42" s="2" t="s">
        <v>104</v>
      </c>
      <c r="Y42" s="137"/>
      <c r="Z42" s="137"/>
      <c r="AA42" s="137"/>
      <c r="AB42" s="137"/>
      <c r="AG42" s="2" t="s">
        <v>105</v>
      </c>
      <c r="AH42" s="137"/>
      <c r="AI42" s="137"/>
      <c r="AJ42" s="137"/>
      <c r="AM42" s="77">
        <f>IF(ISBLANK(Y42),1,2)</f>
        <v>1</v>
      </c>
      <c r="AR42" s="23"/>
    </row>
    <row r="43" spans="2:46" ht="14.55" customHeight="1" x14ac:dyDescent="0.3">
      <c r="E43" s="2" t="s">
        <v>103</v>
      </c>
      <c r="F43" s="179">
        <f>'Form 2D - Design'!M45</f>
        <v>0</v>
      </c>
      <c r="G43" s="179"/>
      <c r="H43" s="179"/>
      <c r="I43" s="23" t="s">
        <v>28</v>
      </c>
      <c r="S43" s="63"/>
      <c r="X43" s="2" t="s">
        <v>103</v>
      </c>
      <c r="Y43" s="135"/>
      <c r="Z43" s="135"/>
      <c r="AA43" s="135"/>
      <c r="AB43" s="23" t="s">
        <v>28</v>
      </c>
      <c r="AM43" s="77">
        <f>IF(ISBLANK(Y43),1,2)</f>
        <v>1</v>
      </c>
      <c r="AR43" s="23"/>
    </row>
    <row r="44" spans="2:46" ht="14.55" customHeight="1" x14ac:dyDescent="0.3">
      <c r="E44" s="2" t="s">
        <v>393</v>
      </c>
      <c r="F44" s="179">
        <f>'Form 2D - Design'!W45</f>
        <v>0</v>
      </c>
      <c r="G44" s="179"/>
      <c r="H44" s="179"/>
      <c r="I44" s="23" t="s">
        <v>29</v>
      </c>
      <c r="N44" s="2" t="s">
        <v>394</v>
      </c>
      <c r="O44" s="183">
        <f>'Form 2D - Design'!AF45</f>
        <v>0</v>
      </c>
      <c r="P44" s="183"/>
      <c r="Q44" s="183"/>
      <c r="R44" s="23" t="s">
        <v>29</v>
      </c>
      <c r="S44" s="63"/>
      <c r="X44" s="2" t="s">
        <v>393</v>
      </c>
      <c r="Y44" s="135"/>
      <c r="Z44" s="135"/>
      <c r="AA44" s="135"/>
      <c r="AB44" s="23" t="s">
        <v>29</v>
      </c>
      <c r="AG44" s="2" t="s">
        <v>394</v>
      </c>
      <c r="AH44" s="134"/>
      <c r="AI44" s="134"/>
      <c r="AJ44" s="134"/>
      <c r="AK44" s="23" t="s">
        <v>29</v>
      </c>
      <c r="AM44" s="77">
        <f>IF(AND(ISBLANK(Y44),ISBLANK(AH44)),1,2)</f>
        <v>1</v>
      </c>
    </row>
    <row r="45" spans="2:46" ht="14.55" customHeight="1" x14ac:dyDescent="0.3">
      <c r="E45" s="2" t="s">
        <v>195</v>
      </c>
      <c r="F45" s="179">
        <f>'Form 2D - Design'!M47</f>
        <v>0</v>
      </c>
      <c r="G45" s="179"/>
      <c r="H45" s="179"/>
      <c r="I45" s="23" t="s">
        <v>29</v>
      </c>
      <c r="N45" s="2" t="s">
        <v>196</v>
      </c>
      <c r="O45" s="179">
        <f>'Form 2D - Design'!W47</f>
        <v>0</v>
      </c>
      <c r="P45" s="179"/>
      <c r="Q45" s="179"/>
      <c r="R45" s="23" t="s">
        <v>29</v>
      </c>
      <c r="S45" s="63"/>
      <c r="X45" s="2" t="s">
        <v>195</v>
      </c>
      <c r="Y45" s="135"/>
      <c r="Z45" s="135"/>
      <c r="AA45" s="135"/>
      <c r="AB45" s="23" t="s">
        <v>29</v>
      </c>
      <c r="AG45" s="2" t="s">
        <v>196</v>
      </c>
      <c r="AH45" s="135"/>
      <c r="AI45" s="135"/>
      <c r="AJ45" s="135"/>
      <c r="AK45" s="23" t="s">
        <v>29</v>
      </c>
    </row>
    <row r="46" spans="2:46" ht="4.95" customHeight="1" x14ac:dyDescent="0.3">
      <c r="S46" s="63"/>
    </row>
    <row r="47" spans="2:46" ht="14.55" customHeight="1" x14ac:dyDescent="0.3">
      <c r="B47" s="58" t="s">
        <v>162</v>
      </c>
      <c r="E47" s="2"/>
      <c r="F47" s="2"/>
      <c r="G47" s="2"/>
      <c r="H47" s="2"/>
      <c r="I47" s="2"/>
      <c r="J47" s="2"/>
      <c r="S47" s="63"/>
      <c r="U47" s="58" t="s">
        <v>162</v>
      </c>
      <c r="X47" s="2"/>
      <c r="Y47" s="2"/>
      <c r="Z47" s="2"/>
      <c r="AA47" s="2"/>
      <c r="AB47" s="2"/>
      <c r="AC47" s="2"/>
    </row>
    <row r="48" spans="2:46" ht="14.55" customHeight="1" x14ac:dyDescent="0.3">
      <c r="E48" s="2" t="s">
        <v>104</v>
      </c>
      <c r="F48" s="178">
        <f>'Form 2D - Design'!M49</f>
        <v>0</v>
      </c>
      <c r="G48" s="178"/>
      <c r="H48" s="178"/>
      <c r="I48" s="178"/>
      <c r="N48" s="2" t="s">
        <v>105</v>
      </c>
      <c r="O48" s="178">
        <f>'Form 2D - Design'!W49</f>
        <v>0</v>
      </c>
      <c r="P48" s="178"/>
      <c r="Q48" s="178"/>
      <c r="S48" s="63"/>
      <c r="X48" s="2" t="s">
        <v>104</v>
      </c>
      <c r="Y48" s="137"/>
      <c r="Z48" s="137"/>
      <c r="AA48" s="137"/>
      <c r="AB48" s="137"/>
      <c r="AG48" s="2" t="s">
        <v>105</v>
      </c>
      <c r="AH48" s="138"/>
      <c r="AI48" s="138"/>
      <c r="AJ48" s="138"/>
    </row>
    <row r="49" spans="1:44" ht="14.55" customHeight="1" x14ac:dyDescent="0.3">
      <c r="E49" s="2" t="s">
        <v>103</v>
      </c>
      <c r="F49" s="179">
        <f>'Form 2D - Design'!M50</f>
        <v>0</v>
      </c>
      <c r="G49" s="179"/>
      <c r="H49" s="179"/>
      <c r="I49" s="23" t="s">
        <v>28</v>
      </c>
      <c r="N49" s="2" t="s">
        <v>146</v>
      </c>
      <c r="O49" s="179">
        <f>'Form 2D - Design'!AF49</f>
        <v>0</v>
      </c>
      <c r="P49" s="179"/>
      <c r="Q49" s="179"/>
      <c r="R49" s="23" t="s">
        <v>29</v>
      </c>
      <c r="S49" s="63"/>
      <c r="X49" s="2" t="s">
        <v>103</v>
      </c>
      <c r="Y49" s="135"/>
      <c r="Z49" s="135"/>
      <c r="AA49" s="135"/>
      <c r="AB49" s="23" t="s">
        <v>28</v>
      </c>
      <c r="AG49" s="2" t="s">
        <v>146</v>
      </c>
      <c r="AH49" s="135"/>
      <c r="AI49" s="135"/>
      <c r="AJ49" s="135"/>
      <c r="AK49" s="23" t="s">
        <v>29</v>
      </c>
      <c r="AM49" s="77">
        <f>IF(ISBLANK(Y49),1,2)</f>
        <v>1</v>
      </c>
    </row>
    <row r="50" spans="1:44" ht="14.55" customHeight="1" x14ac:dyDescent="0.3">
      <c r="E50" s="2" t="s">
        <v>393</v>
      </c>
      <c r="F50" s="179">
        <f>'Form 2D - Design'!W50</f>
        <v>0</v>
      </c>
      <c r="G50" s="179"/>
      <c r="H50" s="179"/>
      <c r="I50" s="23" t="s">
        <v>29</v>
      </c>
      <c r="N50" s="2" t="s">
        <v>394</v>
      </c>
      <c r="O50" s="183">
        <f>'Form 2D - Design'!AF50</f>
        <v>0</v>
      </c>
      <c r="P50" s="183"/>
      <c r="Q50" s="183"/>
      <c r="R50" s="23" t="s">
        <v>29</v>
      </c>
      <c r="S50" s="63"/>
      <c r="X50" s="2" t="s">
        <v>395</v>
      </c>
      <c r="Y50" s="135"/>
      <c r="Z50" s="135"/>
      <c r="AA50" s="135"/>
      <c r="AB50" s="23" t="s">
        <v>29</v>
      </c>
      <c r="AG50" s="2" t="s">
        <v>394</v>
      </c>
      <c r="AH50" s="134"/>
      <c r="AI50" s="134"/>
      <c r="AJ50" s="134"/>
      <c r="AK50" s="23" t="s">
        <v>29</v>
      </c>
      <c r="AM50" s="77">
        <f>IF(AND(ISBLANK(Y50),ISBLANK(AH50)),1,2)</f>
        <v>1</v>
      </c>
    </row>
    <row r="51" spans="1:44" ht="4.95" customHeight="1" x14ac:dyDescent="0.3">
      <c r="S51" s="63"/>
      <c r="AR51" s="23"/>
    </row>
    <row r="52" spans="1:44" ht="15" customHeight="1" x14ac:dyDescent="0.3">
      <c r="B52" s="58" t="s">
        <v>197</v>
      </c>
      <c r="J52" s="23" t="s">
        <v>136</v>
      </c>
      <c r="O52" s="23" t="s">
        <v>197</v>
      </c>
      <c r="S52" s="63"/>
      <c r="V52" s="58" t="s">
        <v>197</v>
      </c>
      <c r="AC52" s="23" t="s">
        <v>136</v>
      </c>
      <c r="AH52" s="23" t="s">
        <v>197</v>
      </c>
      <c r="AR52" s="23"/>
    </row>
    <row r="53" spans="1:44" ht="15" customHeight="1" x14ac:dyDescent="0.3">
      <c r="I53" s="2" t="s">
        <v>198</v>
      </c>
      <c r="J53" s="183">
        <f>'Form 2D - Design'!M56</f>
        <v>0</v>
      </c>
      <c r="K53" s="184"/>
      <c r="L53" s="184"/>
      <c r="M53" s="23" t="s">
        <v>28</v>
      </c>
      <c r="O53" s="183">
        <f>'Form 2D - Design'!W56</f>
        <v>0</v>
      </c>
      <c r="P53" s="184"/>
      <c r="Q53" s="184"/>
      <c r="R53" s="23" t="s">
        <v>166</v>
      </c>
      <c r="S53" s="63"/>
      <c r="AB53" s="2" t="s">
        <v>198</v>
      </c>
      <c r="AC53" s="134"/>
      <c r="AD53" s="134"/>
      <c r="AE53" s="134"/>
      <c r="AF53" s="23" t="s">
        <v>28</v>
      </c>
      <c r="AH53" s="134"/>
      <c r="AI53" s="134"/>
      <c r="AJ53" s="134"/>
      <c r="AK53" s="23" t="s">
        <v>166</v>
      </c>
      <c r="AR53" s="23"/>
    </row>
    <row r="54" spans="1:44" ht="15" customHeight="1" x14ac:dyDescent="0.3">
      <c r="I54" s="2" t="s">
        <v>199</v>
      </c>
      <c r="J54" s="179">
        <f>'Form 2D - Design'!M57</f>
        <v>0</v>
      </c>
      <c r="K54" s="181"/>
      <c r="L54" s="181"/>
      <c r="M54" s="23" t="s">
        <v>28</v>
      </c>
      <c r="O54" s="179">
        <f>'Form 2D - Design'!W57</f>
        <v>0</v>
      </c>
      <c r="P54" s="181"/>
      <c r="Q54" s="181"/>
      <c r="R54" s="23" t="s">
        <v>166</v>
      </c>
      <c r="S54" s="63"/>
      <c r="AB54" s="2" t="s">
        <v>199</v>
      </c>
      <c r="AC54" s="135"/>
      <c r="AD54" s="135"/>
      <c r="AE54" s="135"/>
      <c r="AF54" s="23" t="s">
        <v>28</v>
      </c>
      <c r="AH54" s="135"/>
      <c r="AI54" s="135"/>
      <c r="AJ54" s="135"/>
      <c r="AK54" s="23" t="s">
        <v>166</v>
      </c>
      <c r="AR54" s="23"/>
    </row>
    <row r="55" spans="1:44" ht="15" customHeight="1" x14ac:dyDescent="0.3">
      <c r="B55" s="58" t="s">
        <v>407</v>
      </c>
      <c r="S55" s="63"/>
      <c r="AK55" s="25"/>
      <c r="AR55" s="23"/>
    </row>
    <row r="56" spans="1:44" ht="15" customHeight="1" x14ac:dyDescent="0.3">
      <c r="E56" s="1"/>
      <c r="F56" s="1"/>
      <c r="I56" s="24" t="s">
        <v>36</v>
      </c>
      <c r="J56" s="185">
        <f>'Form 2D - Design'!W21</f>
        <v>0</v>
      </c>
      <c r="K56" s="185"/>
      <c r="L56" s="185"/>
      <c r="M56" s="23" t="s">
        <v>25</v>
      </c>
      <c r="S56" s="63"/>
      <c r="AB56" s="24" t="s">
        <v>37</v>
      </c>
      <c r="AC56" s="143"/>
      <c r="AD56" s="143"/>
      <c r="AE56" s="143"/>
      <c r="AF56" s="23" t="s">
        <v>25</v>
      </c>
      <c r="AK56" s="25"/>
      <c r="AM56" s="56" t="s">
        <v>95</v>
      </c>
      <c r="AN56" s="77">
        <f>IF(OR(AC56&gt;J56,AC56=J56),1,2)</f>
        <v>1</v>
      </c>
      <c r="AR56" s="23"/>
    </row>
    <row r="57" spans="1:44" ht="15" customHeight="1" x14ac:dyDescent="0.3">
      <c r="S57" s="63"/>
      <c r="AK57" s="25"/>
      <c r="AR57" s="23"/>
    </row>
    <row r="58" spans="1:44" ht="15" customHeight="1" x14ac:dyDescent="0.3">
      <c r="B58" s="131">
        <f>Tables!$F$13</f>
        <v>46266</v>
      </c>
      <c r="C58" s="131"/>
      <c r="D58" s="131"/>
      <c r="E58" s="131"/>
      <c r="F58" s="131"/>
      <c r="G58" s="131"/>
      <c r="H58" s="131"/>
      <c r="R58" s="132" t="s">
        <v>411</v>
      </c>
      <c r="S58" s="132"/>
      <c r="T58" s="132"/>
      <c r="U58" s="132"/>
      <c r="AK58" s="25"/>
      <c r="AR58" s="23"/>
    </row>
    <row r="59" spans="1:44" ht="15" customHeight="1" x14ac:dyDescent="0.3">
      <c r="C59" s="2" t="s">
        <v>1</v>
      </c>
      <c r="D59" s="141">
        <f>IF(ISBLANK($E$7),"",$E$7)</f>
        <v>0</v>
      </c>
      <c r="E59" s="141"/>
      <c r="F59" s="141"/>
      <c r="G59" s="141"/>
      <c r="H59" s="141"/>
      <c r="I59" s="141"/>
      <c r="J59" s="141"/>
      <c r="K59" s="141"/>
      <c r="L59" s="141"/>
      <c r="M59" s="141"/>
      <c r="N59" s="141"/>
      <c r="O59" s="141"/>
      <c r="P59" s="141"/>
      <c r="Q59" s="141"/>
      <c r="R59" s="141"/>
      <c r="S59" s="141"/>
      <c r="T59" s="141"/>
      <c r="U59" s="141"/>
      <c r="V59" s="141"/>
      <c r="W59" s="141"/>
      <c r="X59" s="141"/>
      <c r="Y59" s="141"/>
      <c r="Z59" s="141"/>
      <c r="AA59" s="29"/>
      <c r="AB59" s="29"/>
      <c r="AC59" s="29"/>
      <c r="AF59" s="2" t="s">
        <v>12</v>
      </c>
      <c r="AG59" s="139">
        <f>AF7</f>
        <v>0</v>
      </c>
      <c r="AH59" s="139"/>
      <c r="AI59" s="139"/>
      <c r="AJ59" s="139"/>
      <c r="AK59" s="139"/>
      <c r="AR59" s="23"/>
    </row>
    <row r="60" spans="1:44" ht="15" customHeight="1" x14ac:dyDescent="0.3">
      <c r="H60" s="30"/>
      <c r="I60" s="30"/>
      <c r="J60" s="2"/>
      <c r="K60" s="2"/>
      <c r="L60" s="2"/>
      <c r="M60" s="30"/>
      <c r="N60" s="29"/>
      <c r="O60" s="29"/>
      <c r="P60" s="29"/>
      <c r="Q60" s="29"/>
      <c r="R60" s="29"/>
      <c r="S60" s="29"/>
      <c r="T60" s="29"/>
      <c r="U60" s="29"/>
      <c r="V60" s="29"/>
      <c r="W60" s="29"/>
      <c r="X60" s="29"/>
      <c r="Y60" s="29"/>
      <c r="Z60" s="29"/>
      <c r="AA60" s="29"/>
      <c r="AB60" s="29"/>
      <c r="AC60" s="29"/>
      <c r="AF60" s="2" t="s">
        <v>23</v>
      </c>
      <c r="AG60" s="174">
        <f>IF(ISBLANK($AF$8),"",$AF$8)</f>
        <v>0</v>
      </c>
      <c r="AH60" s="174"/>
      <c r="AI60" s="174"/>
      <c r="AJ60" s="174"/>
      <c r="AK60" s="174"/>
      <c r="AR60" s="23"/>
    </row>
    <row r="61" spans="1:44" ht="15" customHeight="1" x14ac:dyDescent="0.3">
      <c r="B61" s="2"/>
      <c r="C61" s="2"/>
      <c r="D61" s="2"/>
      <c r="E61" s="2"/>
      <c r="F61" s="2"/>
      <c r="G61" s="2"/>
      <c r="H61" s="25"/>
      <c r="M61" s="2"/>
      <c r="N61" s="25"/>
      <c r="O61" s="25"/>
      <c r="P61" s="25"/>
      <c r="U61" s="2"/>
      <c r="V61" s="2"/>
      <c r="W61" s="25"/>
      <c r="X61" s="25"/>
      <c r="Y61" s="25"/>
      <c r="AD61" s="2"/>
      <c r="AE61" s="25"/>
      <c r="AF61" s="25"/>
      <c r="AG61" s="25"/>
      <c r="AM61" s="56"/>
      <c r="AO61" s="56"/>
      <c r="AR61" s="23"/>
    </row>
    <row r="62" spans="1:44" s="5" customFormat="1" ht="15" customHeight="1" x14ac:dyDescent="0.3">
      <c r="A62" s="177" t="s">
        <v>9</v>
      </c>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80"/>
      <c r="AN62" s="78"/>
      <c r="AO62" s="80"/>
      <c r="AP62" s="78"/>
    </row>
    <row r="63" spans="1:44" ht="15" customHeight="1" x14ac:dyDescent="0.3">
      <c r="B63" s="1" t="s">
        <v>34</v>
      </c>
      <c r="C63" s="1"/>
      <c r="D63" s="1"/>
      <c r="E63" s="1"/>
      <c r="F63" s="1"/>
      <c r="H63" s="26" t="s">
        <v>30</v>
      </c>
      <c r="I63" s="186">
        <f>'Form 2D - Design'!M59</f>
        <v>0</v>
      </c>
      <c r="J63" s="186"/>
      <c r="K63" s="186"/>
      <c r="L63" s="186"/>
      <c r="O63" s="49"/>
      <c r="P63" s="49"/>
      <c r="Q63" s="1"/>
      <c r="R63" s="1"/>
      <c r="S63" s="63"/>
      <c r="U63" s="1" t="s">
        <v>35</v>
      </c>
      <c r="W63" s="1"/>
      <c r="X63" s="1"/>
      <c r="Y63" s="27"/>
      <c r="AA63" s="26"/>
      <c r="AC63" s="26" t="s">
        <v>30</v>
      </c>
      <c r="AD63" s="148"/>
      <c r="AE63" s="148"/>
      <c r="AF63" s="148"/>
      <c r="AG63" s="148"/>
      <c r="AH63" s="27"/>
      <c r="AI63" s="27"/>
      <c r="AJ63" s="27"/>
      <c r="AK63" s="27"/>
      <c r="AM63" s="56" t="s">
        <v>90</v>
      </c>
      <c r="AN63" s="77">
        <f>IF(ISBLANK(AD63),0,1)</f>
        <v>0</v>
      </c>
      <c r="AO63" s="56" t="s">
        <v>92</v>
      </c>
      <c r="AP63" s="77">
        <f>SUM(AN63:AN64)</f>
        <v>0</v>
      </c>
      <c r="AR63" s="23"/>
    </row>
    <row r="64" spans="1:44" ht="15" customHeight="1" x14ac:dyDescent="0.3">
      <c r="B64" s="1"/>
      <c r="C64" s="1"/>
      <c r="D64" s="1"/>
      <c r="E64" s="1"/>
      <c r="F64" s="1"/>
      <c r="H64" s="2" t="s">
        <v>31</v>
      </c>
      <c r="I64" s="187">
        <f>'Form 2D - Design'!W59</f>
        <v>0</v>
      </c>
      <c r="J64" s="187"/>
      <c r="K64" s="187"/>
      <c r="L64" s="187"/>
      <c r="O64" s="49"/>
      <c r="P64" s="49"/>
      <c r="Q64" s="28"/>
      <c r="S64" s="63"/>
      <c r="AA64" s="2"/>
      <c r="AC64" s="2" t="s">
        <v>31</v>
      </c>
      <c r="AD64" s="173"/>
      <c r="AE64" s="173"/>
      <c r="AF64" s="173"/>
      <c r="AG64" s="173"/>
      <c r="AM64" s="56" t="s">
        <v>91</v>
      </c>
      <c r="AN64" s="77">
        <f>IF(ISBLANK(AD64),0,1)</f>
        <v>0</v>
      </c>
      <c r="AO64" s="56" t="s">
        <v>296</v>
      </c>
      <c r="AP64" s="77">
        <f>IF(ISBLANK(AD63),1,IF(ISTEXT(AD63)=TRUE,3,2))</f>
        <v>1</v>
      </c>
      <c r="AR64" s="23"/>
    </row>
    <row r="65" spans="2:55" ht="15" customHeight="1" x14ac:dyDescent="0.3">
      <c r="B65" s="5" t="s">
        <v>13</v>
      </c>
      <c r="C65" s="5"/>
      <c r="D65" s="5"/>
      <c r="E65" s="5"/>
      <c r="F65" s="5"/>
      <c r="G65" s="5"/>
      <c r="AO65" s="56" t="s">
        <v>297</v>
      </c>
      <c r="AP65" s="77">
        <f>IF(ISBLANK(AD64),1,IF(ISTEXT(AD64)=TRUE,3,2))</f>
        <v>1</v>
      </c>
      <c r="AV65" s="22"/>
      <c r="AW65" s="22"/>
      <c r="AX65" s="22"/>
      <c r="AY65" s="22"/>
      <c r="AZ65" s="22"/>
      <c r="BA65" s="22"/>
      <c r="BB65" s="22"/>
      <c r="BC65" s="22"/>
    </row>
    <row r="66" spans="2:55" ht="15" customHeight="1" x14ac:dyDescent="0.3">
      <c r="B66" s="152"/>
      <c r="C66" s="153"/>
      <c r="D66" s="153"/>
      <c r="E66" s="153"/>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4"/>
      <c r="AV66" s="22"/>
      <c r="AW66" s="22"/>
      <c r="AX66" s="22"/>
      <c r="AY66" s="22"/>
      <c r="AZ66" s="22"/>
      <c r="BA66" s="22"/>
      <c r="BB66" s="22"/>
      <c r="BC66" s="22"/>
    </row>
    <row r="67" spans="2:55" ht="15" customHeight="1" x14ac:dyDescent="0.3">
      <c r="B67" s="155"/>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7"/>
      <c r="AR67" s="23"/>
      <c r="AV67" s="22"/>
      <c r="AW67" s="22"/>
      <c r="AX67" s="22"/>
      <c r="AY67" s="22"/>
      <c r="AZ67" s="22"/>
      <c r="BA67" s="22"/>
      <c r="BB67" s="22"/>
      <c r="BC67" s="22"/>
    </row>
    <row r="68" spans="2:55" ht="15" customHeight="1" x14ac:dyDescent="0.3">
      <c r="B68" s="155"/>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7"/>
      <c r="AV68" s="22"/>
      <c r="AW68" s="22"/>
      <c r="AX68" s="22"/>
      <c r="AY68" s="22"/>
      <c r="AZ68" s="22"/>
      <c r="BA68" s="22"/>
      <c r="BB68" s="22"/>
      <c r="BC68" s="22"/>
    </row>
    <row r="69" spans="2:55" ht="15" customHeight="1" x14ac:dyDescent="0.3">
      <c r="B69" s="155"/>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7"/>
      <c r="AV69" s="22"/>
      <c r="AW69" s="22"/>
      <c r="AX69" s="22"/>
      <c r="AY69" s="22"/>
      <c r="AZ69" s="22"/>
      <c r="BA69" s="22"/>
      <c r="BB69" s="22"/>
      <c r="BC69" s="22"/>
    </row>
    <row r="70" spans="2:55" ht="15" customHeight="1" x14ac:dyDescent="0.3">
      <c r="B70" s="158"/>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c r="AD70" s="159"/>
      <c r="AE70" s="159"/>
      <c r="AF70" s="159"/>
      <c r="AG70" s="159"/>
      <c r="AH70" s="159"/>
      <c r="AI70" s="159"/>
      <c r="AJ70" s="159"/>
      <c r="AK70" s="160"/>
      <c r="AV70" s="22"/>
      <c r="AW70" s="22"/>
      <c r="AX70" s="22"/>
      <c r="AY70" s="22"/>
      <c r="AZ70" s="22"/>
      <c r="BA70" s="22"/>
      <c r="BB70" s="22"/>
      <c r="BC70" s="22"/>
    </row>
    <row r="71" spans="2:55" ht="4.95" customHeight="1" x14ac:dyDescent="0.3">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row>
    <row r="72" spans="2:55" ht="15" customHeight="1" x14ac:dyDescent="0.3">
      <c r="B72" s="1" t="s">
        <v>79</v>
      </c>
      <c r="C72" s="1"/>
      <c r="D72" s="1"/>
      <c r="E72" s="1"/>
      <c r="F72" s="1"/>
      <c r="G72" s="1"/>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row>
    <row r="73" spans="2:55" ht="15" customHeight="1" x14ac:dyDescent="0.3">
      <c r="C73" s="2"/>
      <c r="E73" s="2" t="s">
        <v>81</v>
      </c>
      <c r="F73" s="137"/>
      <c r="G73" s="137"/>
      <c r="H73" s="137"/>
      <c r="I73" s="137"/>
      <c r="J73" s="137"/>
      <c r="K73" s="137"/>
      <c r="L73" s="137"/>
      <c r="M73" s="137"/>
      <c r="N73" s="137"/>
      <c r="O73" s="137"/>
      <c r="P73" s="137"/>
      <c r="Q73" s="137"/>
      <c r="R73" s="137"/>
      <c r="S73" s="137"/>
      <c r="T73" s="137"/>
      <c r="U73" s="137"/>
      <c r="V73" s="137"/>
    </row>
    <row r="74" spans="2:55" ht="15" customHeight="1" x14ac:dyDescent="0.3">
      <c r="C74" s="2"/>
      <c r="E74" s="2" t="s">
        <v>82</v>
      </c>
      <c r="F74" s="150"/>
      <c r="G74" s="150"/>
      <c r="H74" s="150"/>
      <c r="I74" s="150"/>
      <c r="J74" s="150"/>
      <c r="K74" s="150"/>
      <c r="L74" s="150"/>
      <c r="M74" s="150"/>
      <c r="N74" s="150"/>
      <c r="O74" s="150"/>
      <c r="P74" s="150"/>
      <c r="Q74" s="150"/>
      <c r="R74" s="150"/>
      <c r="S74" s="150"/>
      <c r="T74" s="150"/>
      <c r="U74" s="150"/>
      <c r="V74" s="150"/>
      <c r="W74" s="4"/>
      <c r="X74" s="4"/>
      <c r="Y74" s="4"/>
      <c r="Z74" s="4"/>
      <c r="AA74" s="4"/>
      <c r="AB74" s="4"/>
      <c r="AC74" s="4"/>
      <c r="AD74" s="4"/>
      <c r="AE74" s="4"/>
      <c r="AF74" s="4"/>
      <c r="AG74" s="4"/>
      <c r="AH74" s="4"/>
      <c r="AI74" s="4"/>
      <c r="AJ74" s="4"/>
      <c r="AK74" s="4"/>
    </row>
    <row r="75" spans="2:55" ht="15" customHeight="1" x14ac:dyDescent="0.3">
      <c r="C75" s="2"/>
      <c r="E75" s="2" t="s">
        <v>242</v>
      </c>
      <c r="F75" s="150"/>
      <c r="G75" s="150"/>
      <c r="H75" s="150"/>
      <c r="I75" s="150"/>
      <c r="J75" s="150"/>
      <c r="K75" s="150"/>
      <c r="L75" s="150"/>
      <c r="M75" s="150"/>
      <c r="N75" s="150"/>
      <c r="O75" s="150"/>
      <c r="P75" s="150"/>
      <c r="Q75" s="150"/>
      <c r="R75" s="150"/>
      <c r="S75" s="150"/>
      <c r="T75" s="150"/>
      <c r="U75" s="150"/>
      <c r="V75" s="150"/>
      <c r="X75" s="2"/>
      <c r="Y75" s="2" t="s">
        <v>85</v>
      </c>
      <c r="Z75" s="171"/>
      <c r="AA75" s="171"/>
      <c r="AB75" s="171"/>
      <c r="AC75" s="171"/>
      <c r="AF75" s="2"/>
      <c r="AG75" s="2" t="s">
        <v>86</v>
      </c>
      <c r="AH75" s="171"/>
      <c r="AI75" s="171"/>
      <c r="AJ75" s="171"/>
      <c r="AK75" s="171"/>
    </row>
    <row r="76" spans="2:55" ht="15" customHeight="1" x14ac:dyDescent="0.3">
      <c r="C76" s="2"/>
      <c r="E76" s="2" t="s">
        <v>281</v>
      </c>
      <c r="F76" s="137"/>
      <c r="G76" s="137"/>
      <c r="H76" s="137"/>
      <c r="I76" s="137"/>
      <c r="J76" s="137"/>
      <c r="K76" s="137"/>
      <c r="L76" s="137"/>
      <c r="M76" s="137"/>
      <c r="N76" s="137"/>
      <c r="O76" s="137"/>
      <c r="P76" s="137"/>
      <c r="Q76" s="137"/>
      <c r="R76" s="137"/>
      <c r="S76" s="137"/>
      <c r="T76" s="137"/>
      <c r="U76" s="137"/>
      <c r="V76" s="137"/>
      <c r="X76" s="2"/>
      <c r="Y76" s="2" t="s">
        <v>88</v>
      </c>
      <c r="Z76" s="137"/>
      <c r="AA76" s="137"/>
      <c r="AB76" s="137"/>
      <c r="AC76" s="137"/>
      <c r="AD76" s="137"/>
      <c r="AE76" s="137"/>
      <c r="AF76" s="137"/>
      <c r="AG76" s="137"/>
      <c r="AH76" s="137"/>
      <c r="AI76" s="137"/>
      <c r="AJ76" s="137"/>
      <c r="AK76" s="137"/>
      <c r="AL76" s="2"/>
      <c r="AQ76" s="2"/>
      <c r="AR76" s="2"/>
    </row>
    <row r="77" spans="2:55" ht="15" customHeight="1" x14ac:dyDescent="0.3">
      <c r="C77" s="2"/>
      <c r="E77" s="2" t="s">
        <v>83</v>
      </c>
      <c r="F77" s="170"/>
      <c r="G77" s="170"/>
      <c r="H77" s="170"/>
      <c r="I77" s="170"/>
      <c r="J77" s="170"/>
      <c r="K77" s="170"/>
      <c r="L77" s="170"/>
      <c r="M77" s="170"/>
      <c r="N77" s="170"/>
      <c r="O77" s="170"/>
      <c r="P77" s="170"/>
      <c r="Q77" s="170"/>
      <c r="R77" s="170"/>
      <c r="S77" s="170"/>
      <c r="T77" s="170"/>
      <c r="U77" s="170"/>
      <c r="V77" s="170"/>
      <c r="X77" s="8"/>
      <c r="Y77" s="8"/>
      <c r="Z77" s="8"/>
      <c r="AA77" s="8"/>
      <c r="AB77" s="8"/>
      <c r="AC77" s="8"/>
      <c r="AF77" s="2" t="s">
        <v>87</v>
      </c>
      <c r="AG77" s="169"/>
      <c r="AH77" s="169"/>
      <c r="AI77" s="169"/>
      <c r="AJ77" s="169"/>
      <c r="AK77" s="169"/>
    </row>
    <row r="78" spans="2:55" ht="4.95" customHeight="1" x14ac:dyDescent="0.3">
      <c r="B78" s="2"/>
      <c r="C78" s="2"/>
      <c r="D78" s="2"/>
      <c r="E78" s="2"/>
      <c r="F78" s="2"/>
      <c r="G78" s="2"/>
      <c r="H78" s="31"/>
      <c r="I78" s="31"/>
      <c r="J78" s="31"/>
      <c r="K78" s="31"/>
      <c r="L78" s="31"/>
      <c r="M78" s="31"/>
      <c r="N78" s="31"/>
      <c r="O78" s="31"/>
      <c r="P78" s="31"/>
      <c r="Q78" s="31"/>
      <c r="R78" s="31"/>
      <c r="S78" s="31"/>
      <c r="T78" s="31"/>
      <c r="U78" s="31"/>
      <c r="V78" s="31"/>
      <c r="X78" s="4"/>
      <c r="Y78" s="4"/>
      <c r="Z78" s="4"/>
      <c r="AA78" s="4"/>
      <c r="AB78" s="4"/>
      <c r="AC78" s="4"/>
      <c r="AD78" s="2"/>
      <c r="AE78" s="4"/>
      <c r="AF78" s="4"/>
      <c r="AG78" s="4"/>
      <c r="AH78" s="4"/>
      <c r="AI78" s="4"/>
      <c r="AJ78" s="4"/>
      <c r="AK78" s="4"/>
    </row>
    <row r="79" spans="2:55" ht="15" customHeight="1" x14ac:dyDescent="0.3">
      <c r="B79" s="1" t="s">
        <v>226</v>
      </c>
      <c r="C79" s="1"/>
      <c r="D79" s="1"/>
      <c r="E79" s="1"/>
      <c r="F79" s="1"/>
      <c r="G79" s="1"/>
      <c r="H79" s="4"/>
      <c r="I79" s="4"/>
      <c r="J79" s="4"/>
      <c r="K79" s="4"/>
      <c r="L79" s="4"/>
      <c r="M79" s="4"/>
      <c r="N79" s="4"/>
      <c r="O79" s="4"/>
      <c r="P79" s="4"/>
      <c r="Q79" s="4"/>
      <c r="R79" s="4"/>
      <c r="S79" s="4"/>
      <c r="T79" s="4"/>
      <c r="U79" s="4"/>
      <c r="V79" s="4"/>
      <c r="X79" s="4"/>
      <c r="Z79" s="120"/>
      <c r="AA79" s="23" t="s">
        <v>80</v>
      </c>
      <c r="AC79" s="4"/>
      <c r="AH79" s="4"/>
      <c r="AI79" s="4"/>
      <c r="AJ79" s="4"/>
      <c r="AK79" s="4"/>
      <c r="AM79" s="77">
        <f>IF(ISBLANK(Z79),1,2)</f>
        <v>1</v>
      </c>
    </row>
    <row r="80" spans="2:55" ht="15" customHeight="1" x14ac:dyDescent="0.3">
      <c r="C80" s="2"/>
      <c r="E80" s="2" t="s">
        <v>84</v>
      </c>
      <c r="F80" s="137"/>
      <c r="G80" s="137"/>
      <c r="H80" s="137"/>
      <c r="I80" s="137"/>
      <c r="J80" s="137"/>
      <c r="K80" s="137"/>
      <c r="L80" s="137"/>
      <c r="M80" s="137"/>
      <c r="N80" s="137"/>
      <c r="O80" s="137"/>
      <c r="P80" s="137"/>
      <c r="Q80" s="137"/>
      <c r="R80" s="137"/>
      <c r="S80" s="137"/>
      <c r="T80" s="137"/>
      <c r="U80" s="137"/>
      <c r="V80" s="137"/>
      <c r="AM80" s="77">
        <f>IF(AND(ISBLANK(F80),ISBLANK(F81),ISBLANK(F82),ISBLANK(F83),ISBLANK(F84),ISBLANK(Z82),ISBLANK(AH82),ISBLANK(Z83),ISBLANK(AG84)),1,2)</f>
        <v>1</v>
      </c>
    </row>
    <row r="81" spans="2:42" ht="15" customHeight="1" x14ac:dyDescent="0.3">
      <c r="C81" s="2"/>
      <c r="E81" s="2" t="s">
        <v>82</v>
      </c>
      <c r="F81" s="150"/>
      <c r="G81" s="150"/>
      <c r="H81" s="150"/>
      <c r="I81" s="150"/>
      <c r="J81" s="150"/>
      <c r="K81" s="150"/>
      <c r="L81" s="150"/>
      <c r="M81" s="150"/>
      <c r="N81" s="150"/>
      <c r="O81" s="150"/>
      <c r="P81" s="150"/>
      <c r="Q81" s="150"/>
      <c r="R81" s="150"/>
      <c r="S81" s="150"/>
      <c r="T81" s="150"/>
      <c r="U81" s="150"/>
      <c r="V81" s="150"/>
      <c r="AE81" s="4"/>
      <c r="AF81" s="4"/>
      <c r="AG81" s="4"/>
      <c r="AH81" s="4"/>
      <c r="AI81" s="4"/>
      <c r="AJ81" s="4"/>
      <c r="AK81" s="4"/>
    </row>
    <row r="82" spans="2:42" ht="15" customHeight="1" x14ac:dyDescent="0.3">
      <c r="C82" s="2"/>
      <c r="E82" s="2" t="s">
        <v>242</v>
      </c>
      <c r="F82" s="150"/>
      <c r="G82" s="150"/>
      <c r="H82" s="150"/>
      <c r="I82" s="150"/>
      <c r="J82" s="150"/>
      <c r="K82" s="150"/>
      <c r="L82" s="150"/>
      <c r="M82" s="150"/>
      <c r="N82" s="150"/>
      <c r="O82" s="150"/>
      <c r="P82" s="150"/>
      <c r="Q82" s="150"/>
      <c r="R82" s="150"/>
      <c r="S82" s="150"/>
      <c r="T82" s="150"/>
      <c r="U82" s="150"/>
      <c r="V82" s="150"/>
      <c r="X82" s="2"/>
      <c r="Y82" s="2" t="s">
        <v>85</v>
      </c>
      <c r="Z82" s="171"/>
      <c r="AA82" s="171"/>
      <c r="AB82" s="171"/>
      <c r="AC82" s="171"/>
      <c r="AF82" s="2"/>
      <c r="AG82" s="2" t="s">
        <v>86</v>
      </c>
      <c r="AH82" s="171"/>
      <c r="AI82" s="171"/>
      <c r="AJ82" s="171"/>
      <c r="AK82" s="171"/>
    </row>
    <row r="83" spans="2:42" ht="15" customHeight="1" x14ac:dyDescent="0.3">
      <c r="C83" s="2"/>
      <c r="E83" s="2" t="s">
        <v>281</v>
      </c>
      <c r="F83" s="137"/>
      <c r="G83" s="137"/>
      <c r="H83" s="137"/>
      <c r="I83" s="137"/>
      <c r="J83" s="137"/>
      <c r="K83" s="137"/>
      <c r="L83" s="137"/>
      <c r="M83" s="137"/>
      <c r="N83" s="137"/>
      <c r="O83" s="137"/>
      <c r="P83" s="137"/>
      <c r="Q83" s="137"/>
      <c r="R83" s="137"/>
      <c r="S83" s="137"/>
      <c r="T83" s="137"/>
      <c r="U83" s="137"/>
      <c r="V83" s="137"/>
      <c r="W83" s="4"/>
      <c r="X83" s="4"/>
      <c r="Y83" s="2" t="s">
        <v>88</v>
      </c>
      <c r="Z83" s="137"/>
      <c r="AA83" s="137"/>
      <c r="AB83" s="137"/>
      <c r="AC83" s="137"/>
      <c r="AD83" s="137"/>
      <c r="AE83" s="137"/>
      <c r="AF83" s="137"/>
      <c r="AG83" s="137"/>
      <c r="AH83" s="137"/>
      <c r="AI83" s="137"/>
      <c r="AJ83" s="137"/>
      <c r="AK83" s="137"/>
    </row>
    <row r="84" spans="2:42" ht="15" customHeight="1" x14ac:dyDescent="0.3">
      <c r="C84" s="2"/>
      <c r="E84" s="2" t="s">
        <v>83</v>
      </c>
      <c r="F84" s="170"/>
      <c r="G84" s="170"/>
      <c r="H84" s="170"/>
      <c r="I84" s="170"/>
      <c r="J84" s="170"/>
      <c r="K84" s="170"/>
      <c r="L84" s="170"/>
      <c r="M84" s="170"/>
      <c r="N84" s="170"/>
      <c r="O84" s="170"/>
      <c r="P84" s="170"/>
      <c r="Q84" s="170"/>
      <c r="R84" s="170"/>
      <c r="S84" s="170"/>
      <c r="T84" s="170"/>
      <c r="U84" s="170"/>
      <c r="V84" s="170"/>
      <c r="AF84" s="2" t="s">
        <v>87</v>
      </c>
      <c r="AG84" s="169"/>
      <c r="AH84" s="169"/>
      <c r="AI84" s="169"/>
      <c r="AJ84" s="169"/>
      <c r="AK84" s="169"/>
    </row>
    <row r="85" spans="2:42" ht="15" customHeight="1" x14ac:dyDescent="0.3"/>
    <row r="86" spans="2:42" ht="15" customHeight="1" x14ac:dyDescent="0.3">
      <c r="B86" s="1" t="s">
        <v>267</v>
      </c>
      <c r="F86" s="30"/>
      <c r="G86" s="30"/>
      <c r="H86" s="23" t="s">
        <v>414</v>
      </c>
      <c r="I86" s="30"/>
      <c r="J86" s="30"/>
      <c r="K86" s="2"/>
      <c r="L86" s="2"/>
      <c r="M86" s="2"/>
      <c r="N86" s="2"/>
      <c r="O86" s="30"/>
      <c r="P86" s="29"/>
      <c r="Q86" s="29"/>
      <c r="R86" s="29"/>
      <c r="S86" s="29"/>
      <c r="T86" s="29"/>
      <c r="U86" s="29"/>
      <c r="V86" s="29"/>
      <c r="W86" s="29"/>
      <c r="X86" s="29"/>
      <c r="Y86" s="29"/>
      <c r="Z86" s="29"/>
      <c r="AA86" s="29"/>
      <c r="AB86" s="29"/>
      <c r="AC86" s="29"/>
      <c r="AD86" s="29"/>
      <c r="AE86" s="29"/>
      <c r="AF86" s="29"/>
      <c r="AG86" s="29"/>
      <c r="AH86" s="29"/>
      <c r="AI86" s="29"/>
      <c r="AJ86" s="29"/>
      <c r="AK86" s="29"/>
      <c r="AM86" s="9"/>
      <c r="AN86" s="9"/>
    </row>
    <row r="87" spans="2:42" ht="15" customHeight="1" x14ac:dyDescent="0.3">
      <c r="C87" s="23" t="s">
        <v>102</v>
      </c>
      <c r="E87" s="23" t="s">
        <v>89</v>
      </c>
      <c r="AM87" s="77">
        <f>SUM(AM91,AM93,AM97,AM99,AM101,AM103,AM105,AM107)</f>
        <v>8</v>
      </c>
      <c r="AP87" s="77">
        <f>SUM(AP91,AP93,AP97,AP99,AP101,AP103,AP105,AP107)</f>
        <v>0</v>
      </c>
    </row>
    <row r="88" spans="2:42" ht="4.95" customHeight="1" x14ac:dyDescent="0.3"/>
    <row r="89" spans="2:42" ht="15" customHeight="1" x14ac:dyDescent="0.3">
      <c r="C89" s="120"/>
      <c r="E89" s="120"/>
      <c r="G89" s="23" t="s">
        <v>268</v>
      </c>
      <c r="X89" s="23" t="s">
        <v>269</v>
      </c>
      <c r="AC89" s="23" t="s">
        <v>270</v>
      </c>
      <c r="AM89" s="77">
        <f>IF(AND(ISBLANK(C89),ISBLANK(E89)),1,2)</f>
        <v>1</v>
      </c>
      <c r="AN89" s="77">
        <f>IF(ISBLANK(E89),1,2)</f>
        <v>1</v>
      </c>
      <c r="AO89" s="77">
        <f>IF(ISBLANK(C89),1,2)</f>
        <v>1</v>
      </c>
      <c r="AP89" s="77">
        <f>IF(ISBLANK(E89),0,1)</f>
        <v>0</v>
      </c>
    </row>
    <row r="90" spans="2:42" ht="4.95" customHeight="1" x14ac:dyDescent="0.3"/>
    <row r="91" spans="2:42" ht="15" customHeight="1" x14ac:dyDescent="0.3">
      <c r="C91" s="120"/>
      <c r="E91" s="120"/>
      <c r="G91" s="23" t="s">
        <v>276</v>
      </c>
      <c r="Y91" s="171"/>
      <c r="Z91" s="171"/>
      <c r="AC91" s="172"/>
      <c r="AD91" s="172"/>
      <c r="AE91" s="172"/>
      <c r="AF91" s="172"/>
      <c r="AG91" s="172"/>
      <c r="AH91" s="172"/>
      <c r="AI91" s="172"/>
      <c r="AM91" s="77">
        <f>IF(AND(ISBLANK(C91),ISBLANK(E91)),1,2)</f>
        <v>1</v>
      </c>
      <c r="AN91" s="77">
        <f>IF(ISBLANK(E91),1,2)</f>
        <v>1</v>
      </c>
      <c r="AO91" s="77">
        <f>IF(ISBLANK(C91),1,2)</f>
        <v>1</v>
      </c>
      <c r="AP91" s="77">
        <f>IF(ISBLANK(E91),0,1)</f>
        <v>0</v>
      </c>
    </row>
    <row r="92" spans="2:42" ht="4.95" customHeight="1" x14ac:dyDescent="0.3"/>
    <row r="93" spans="2:42" ht="15" customHeight="1" x14ac:dyDescent="0.3">
      <c r="C93" s="120"/>
      <c r="E93" s="120"/>
      <c r="G93" s="23" t="s">
        <v>273</v>
      </c>
      <c r="Y93" s="171"/>
      <c r="Z93" s="171"/>
      <c r="AC93" s="172"/>
      <c r="AD93" s="172"/>
      <c r="AE93" s="172"/>
      <c r="AF93" s="172"/>
      <c r="AG93" s="172"/>
      <c r="AH93" s="172"/>
      <c r="AI93" s="172"/>
      <c r="AM93" s="77">
        <f>IF(AND(ISBLANK(C93),ISBLANK(E93)),1,2)</f>
        <v>1</v>
      </c>
      <c r="AN93" s="77">
        <f>IF(ISBLANK(E93),1,2)</f>
        <v>1</v>
      </c>
      <c r="AO93" s="77">
        <f>IF(ISBLANK(C93),1,2)</f>
        <v>1</v>
      </c>
      <c r="AP93" s="77">
        <f>IF(ISBLANK(E93),0,1)</f>
        <v>0</v>
      </c>
    </row>
    <row r="94" spans="2:42" ht="4.95" customHeight="1" x14ac:dyDescent="0.3"/>
    <row r="95" spans="2:42" ht="15" customHeight="1" x14ac:dyDescent="0.3">
      <c r="C95" s="120"/>
      <c r="E95" s="120"/>
      <c r="G95" s="23" t="s">
        <v>412</v>
      </c>
      <c r="Y95" s="171"/>
      <c r="Z95" s="171"/>
      <c r="AC95" s="172"/>
      <c r="AD95" s="172"/>
      <c r="AE95" s="172"/>
      <c r="AF95" s="172"/>
      <c r="AG95" s="172"/>
      <c r="AH95" s="172"/>
      <c r="AI95" s="172"/>
      <c r="AM95" s="77">
        <f>IF(AND(ISBLANK(C95),ISBLANK(E95)),1,2)</f>
        <v>1</v>
      </c>
      <c r="AN95" s="77">
        <f>IF(ISBLANK(E95),1,2)</f>
        <v>1</v>
      </c>
      <c r="AO95" s="77">
        <f>IF(ISBLANK(C95),1,2)</f>
        <v>1</v>
      </c>
      <c r="AP95" s="77">
        <f>IF(ISBLANK(E95),0,1)</f>
        <v>0</v>
      </c>
    </row>
    <row r="96" spans="2:42" ht="4.95" customHeight="1" x14ac:dyDescent="0.3"/>
    <row r="97" spans="2:42" ht="15" customHeight="1" x14ac:dyDescent="0.3">
      <c r="C97" s="120"/>
      <c r="E97" s="120"/>
      <c r="G97" s="23" t="s">
        <v>274</v>
      </c>
      <c r="Y97" s="171"/>
      <c r="Z97" s="171"/>
      <c r="AC97" s="172"/>
      <c r="AD97" s="172"/>
      <c r="AE97" s="172"/>
      <c r="AF97" s="172"/>
      <c r="AG97" s="172"/>
      <c r="AH97" s="172"/>
      <c r="AI97" s="172"/>
      <c r="AM97" s="77">
        <f>IF(AND(ISBLANK(C97),ISBLANK(E97)),1,2)</f>
        <v>1</v>
      </c>
      <c r="AN97" s="77">
        <f>IF(ISBLANK(E97),1,2)</f>
        <v>1</v>
      </c>
      <c r="AO97" s="77">
        <f>IF(ISBLANK(C97),1,2)</f>
        <v>1</v>
      </c>
      <c r="AP97" s="77">
        <f>IF(ISBLANK(E97),0,1)</f>
        <v>0</v>
      </c>
    </row>
    <row r="98" spans="2:42" ht="4.95" customHeight="1" x14ac:dyDescent="0.3"/>
    <row r="99" spans="2:42" ht="15" customHeight="1" x14ac:dyDescent="0.3">
      <c r="C99" s="120"/>
      <c r="E99" s="120"/>
      <c r="G99" s="23" t="s">
        <v>275</v>
      </c>
      <c r="Y99" s="171"/>
      <c r="Z99" s="171"/>
      <c r="AC99" s="172"/>
      <c r="AD99" s="172"/>
      <c r="AE99" s="172"/>
      <c r="AF99" s="172"/>
      <c r="AG99" s="172"/>
      <c r="AH99" s="172"/>
      <c r="AI99" s="172"/>
      <c r="AM99" s="77">
        <f>IF(AND(ISBLANK(C99),ISBLANK(E99)),1,2)</f>
        <v>1</v>
      </c>
      <c r="AN99" s="77">
        <f>IF(ISBLANK(E99),1,2)</f>
        <v>1</v>
      </c>
      <c r="AO99" s="77">
        <f>IF(ISBLANK(C99),1,2)</f>
        <v>1</v>
      </c>
      <c r="AP99" s="77">
        <f>IF(ISBLANK(E99),0,1)</f>
        <v>0</v>
      </c>
    </row>
    <row r="100" spans="2:42" ht="4.95" customHeight="1" x14ac:dyDescent="0.3">
      <c r="C100" s="30"/>
      <c r="E100" s="2"/>
      <c r="J100" s="30"/>
      <c r="K100" s="29"/>
      <c r="L100" s="29"/>
      <c r="M100" s="29"/>
      <c r="N100" s="29"/>
      <c r="O100" s="29"/>
      <c r="X100" s="29"/>
      <c r="Y100" s="29"/>
      <c r="Z100" s="29"/>
      <c r="AA100" s="29"/>
      <c r="AB100" s="29"/>
      <c r="AC100" s="29"/>
      <c r="AD100" s="29"/>
      <c r="AE100" s="29"/>
      <c r="AF100" s="29"/>
      <c r="AG100" s="29"/>
      <c r="AH100" s="29"/>
      <c r="AI100" s="29"/>
      <c r="AJ100" s="29"/>
      <c r="AK100" s="29"/>
      <c r="AM100" s="9"/>
      <c r="AN100" s="9"/>
    </row>
    <row r="101" spans="2:42" ht="15" customHeight="1" x14ac:dyDescent="0.3">
      <c r="C101" s="120"/>
      <c r="E101" s="120"/>
      <c r="G101" s="23" t="s">
        <v>277</v>
      </c>
      <c r="Y101" s="171"/>
      <c r="Z101" s="171"/>
      <c r="AC101" s="172"/>
      <c r="AD101" s="172"/>
      <c r="AE101" s="172"/>
      <c r="AF101" s="172"/>
      <c r="AG101" s="172"/>
      <c r="AH101" s="172"/>
      <c r="AI101" s="172"/>
      <c r="AM101" s="77">
        <f>IF(AND(ISBLANK(C101),ISBLANK(E101)),1,2)</f>
        <v>1</v>
      </c>
      <c r="AN101" s="77">
        <f>IF(ISBLANK(E101),1,2)</f>
        <v>1</v>
      </c>
      <c r="AO101" s="77">
        <f>IF(ISBLANK(C101),1,2)</f>
        <v>1</v>
      </c>
      <c r="AP101" s="77">
        <f>IF(ISBLANK(E101),0,1)</f>
        <v>0</v>
      </c>
    </row>
    <row r="102" spans="2:42" ht="4.95" customHeight="1" x14ac:dyDescent="0.3">
      <c r="I102" s="30"/>
      <c r="J102" s="2"/>
      <c r="K102" s="2"/>
      <c r="L102" s="2"/>
      <c r="M102" s="30"/>
      <c r="N102" s="29"/>
      <c r="O102" s="29"/>
      <c r="X102" s="29"/>
      <c r="Y102" s="29"/>
      <c r="Z102" s="29"/>
      <c r="AA102" s="29"/>
      <c r="AB102" s="29"/>
      <c r="AC102" s="29"/>
      <c r="AD102" s="29"/>
      <c r="AE102" s="29"/>
      <c r="AF102" s="29"/>
      <c r="AG102" s="29"/>
      <c r="AH102" s="29"/>
      <c r="AI102" s="29"/>
      <c r="AM102" s="9"/>
      <c r="AN102" s="9"/>
    </row>
    <row r="103" spans="2:42" ht="15" customHeight="1" x14ac:dyDescent="0.3">
      <c r="C103" s="120"/>
      <c r="E103" s="120"/>
      <c r="G103" s="23" t="s">
        <v>278</v>
      </c>
      <c r="I103" s="30"/>
      <c r="J103" s="2"/>
      <c r="K103" s="2"/>
      <c r="L103" s="2"/>
      <c r="M103" s="30"/>
      <c r="N103" s="29"/>
      <c r="O103" s="29"/>
      <c r="X103" s="29"/>
      <c r="Y103" s="171"/>
      <c r="Z103" s="171"/>
      <c r="AC103" s="172"/>
      <c r="AD103" s="172"/>
      <c r="AE103" s="172"/>
      <c r="AF103" s="172"/>
      <c r="AG103" s="172"/>
      <c r="AH103" s="172"/>
      <c r="AI103" s="172"/>
      <c r="AM103" s="77">
        <f>IF(AND(ISBLANK(C103),ISBLANK(E103)),1,2)</f>
        <v>1</v>
      </c>
      <c r="AN103" s="77">
        <f>IF(ISBLANK(E103),1,2)</f>
        <v>1</v>
      </c>
      <c r="AO103" s="77">
        <f>IF(ISBLANK(C103),1,2)</f>
        <v>1</v>
      </c>
      <c r="AP103" s="77">
        <f>IF(ISBLANK(E103),0,1)</f>
        <v>0</v>
      </c>
    </row>
    <row r="104" spans="2:42" ht="4.95" customHeight="1" x14ac:dyDescent="0.3">
      <c r="I104" s="30"/>
      <c r="J104" s="2"/>
      <c r="K104" s="2"/>
      <c r="L104" s="2"/>
      <c r="M104" s="30"/>
      <c r="N104" s="29"/>
      <c r="O104" s="29"/>
      <c r="X104" s="29"/>
      <c r="Y104" s="29"/>
      <c r="Z104" s="29"/>
      <c r="AA104" s="29"/>
      <c r="AB104" s="29"/>
      <c r="AC104" s="29"/>
      <c r="AD104" s="29"/>
      <c r="AE104" s="29"/>
      <c r="AF104" s="29"/>
      <c r="AG104" s="29"/>
      <c r="AH104" s="29"/>
      <c r="AI104" s="29"/>
      <c r="AM104" s="9"/>
      <c r="AN104" s="9"/>
    </row>
    <row r="105" spans="2:42" ht="15" customHeight="1" x14ac:dyDescent="0.3">
      <c r="C105" s="120"/>
      <c r="E105" s="120"/>
      <c r="G105" s="23" t="s">
        <v>271</v>
      </c>
      <c r="Y105" s="171"/>
      <c r="Z105" s="171"/>
      <c r="AC105" s="172"/>
      <c r="AD105" s="172"/>
      <c r="AE105" s="172"/>
      <c r="AF105" s="172"/>
      <c r="AG105" s="172"/>
      <c r="AH105" s="172"/>
      <c r="AI105" s="172"/>
      <c r="AM105" s="77">
        <f>IF(AND(ISBLANK(C105),ISBLANK(E105)),1,2)</f>
        <v>1</v>
      </c>
      <c r="AN105" s="77">
        <f>IF(ISBLANK(E105),1,2)</f>
        <v>1</v>
      </c>
      <c r="AO105" s="77">
        <f>IF(ISBLANK(C105),1,2)</f>
        <v>1</v>
      </c>
      <c r="AP105" s="77">
        <f>IF(ISBLANK(E105),0,1)</f>
        <v>0</v>
      </c>
    </row>
    <row r="106" spans="2:42" ht="4.95" customHeight="1" x14ac:dyDescent="0.3">
      <c r="I106" s="30"/>
      <c r="J106" s="2"/>
      <c r="K106" s="2"/>
      <c r="L106" s="2"/>
      <c r="M106" s="30"/>
      <c r="N106" s="29"/>
      <c r="O106" s="29"/>
      <c r="P106" s="29"/>
      <c r="Q106" s="29"/>
      <c r="R106" s="29"/>
      <c r="S106" s="29"/>
      <c r="T106" s="29"/>
      <c r="U106" s="29"/>
      <c r="V106" s="29"/>
      <c r="W106" s="29"/>
      <c r="X106" s="29"/>
      <c r="Y106" s="29"/>
      <c r="Z106" s="29"/>
      <c r="AA106" s="29"/>
      <c r="AB106" s="29"/>
      <c r="AC106" s="29"/>
      <c r="AM106" s="9"/>
      <c r="AN106" s="9"/>
    </row>
    <row r="107" spans="2:42" ht="15" customHeight="1" x14ac:dyDescent="0.3">
      <c r="C107" s="120"/>
      <c r="E107" s="120"/>
      <c r="G107" s="23" t="s">
        <v>272</v>
      </c>
      <c r="I107" s="30"/>
      <c r="J107" s="2"/>
      <c r="K107" s="2"/>
      <c r="L107" s="2"/>
      <c r="M107" s="30"/>
      <c r="N107" s="29"/>
      <c r="O107" s="29"/>
      <c r="P107" s="29"/>
      <c r="Q107" s="29"/>
      <c r="R107" s="29"/>
      <c r="S107" s="29"/>
      <c r="T107" s="29"/>
      <c r="U107" s="29"/>
      <c r="V107" s="29"/>
      <c r="W107" s="29"/>
      <c r="X107" s="29"/>
      <c r="Y107" s="171"/>
      <c r="Z107" s="171"/>
      <c r="AC107" s="172"/>
      <c r="AD107" s="172"/>
      <c r="AE107" s="172"/>
      <c r="AF107" s="172"/>
      <c r="AG107" s="172"/>
      <c r="AH107" s="172"/>
      <c r="AI107" s="172"/>
      <c r="AM107" s="77">
        <f>IF(AND(ISBLANK(C107),ISBLANK(E107)),1,2)</f>
        <v>1</v>
      </c>
      <c r="AN107" s="77">
        <f>IF(ISBLANK(E107),1,2)</f>
        <v>1</v>
      </c>
      <c r="AO107" s="77">
        <f>IF(ISBLANK(C107),1,2)</f>
        <v>1</v>
      </c>
      <c r="AP107" s="77">
        <f>IF(ISBLANK(E107),0,1)</f>
        <v>0</v>
      </c>
    </row>
    <row r="108" spans="2:42" ht="15" customHeight="1" x14ac:dyDescent="0.3">
      <c r="AK108" s="25"/>
    </row>
    <row r="109" spans="2:42" ht="15" customHeight="1" x14ac:dyDescent="0.3">
      <c r="AK109" s="25"/>
    </row>
    <row r="110" spans="2:42" ht="15" customHeight="1" x14ac:dyDescent="0.3">
      <c r="B110" s="131">
        <f>Tables!$F$13</f>
        <v>46266</v>
      </c>
      <c r="C110" s="131"/>
      <c r="D110" s="131"/>
      <c r="E110" s="131"/>
      <c r="F110" s="131"/>
      <c r="G110" s="131"/>
      <c r="H110" s="131"/>
      <c r="R110" s="132" t="s">
        <v>410</v>
      </c>
      <c r="S110" s="132"/>
      <c r="T110" s="132"/>
      <c r="U110" s="132"/>
      <c r="AK110" s="25"/>
    </row>
    <row r="111" spans="2:42" ht="15" customHeight="1" x14ac:dyDescent="0.3">
      <c r="C111" s="2" t="s">
        <v>1</v>
      </c>
      <c r="D111" s="141">
        <f>IF(ISBLANK($E$7),"",$E$7)</f>
        <v>0</v>
      </c>
      <c r="E111" s="141"/>
      <c r="F111" s="141"/>
      <c r="G111" s="141"/>
      <c r="H111" s="141"/>
      <c r="I111" s="141"/>
      <c r="J111" s="141"/>
      <c r="K111" s="141"/>
      <c r="L111" s="141"/>
      <c r="M111" s="141"/>
      <c r="N111" s="141"/>
      <c r="O111" s="141"/>
      <c r="P111" s="141"/>
      <c r="Q111" s="141"/>
      <c r="R111" s="141"/>
      <c r="S111" s="141"/>
      <c r="T111" s="141"/>
      <c r="U111" s="141"/>
      <c r="V111" s="141"/>
      <c r="W111" s="141"/>
      <c r="X111" s="141"/>
      <c r="Y111" s="141"/>
      <c r="Z111" s="141"/>
      <c r="AA111" s="29"/>
      <c r="AB111" s="29"/>
      <c r="AC111" s="29"/>
      <c r="AF111" s="2" t="s">
        <v>12</v>
      </c>
      <c r="AG111" s="139">
        <f>$AF$7</f>
        <v>0</v>
      </c>
      <c r="AH111" s="139"/>
      <c r="AI111" s="139"/>
      <c r="AJ111" s="139"/>
      <c r="AK111" s="139"/>
    </row>
    <row r="112" spans="2:42" ht="15" customHeight="1" x14ac:dyDescent="0.3">
      <c r="H112" s="30"/>
      <c r="I112" s="30"/>
      <c r="J112" s="2"/>
      <c r="K112" s="2"/>
      <c r="L112" s="2"/>
      <c r="M112" s="30"/>
      <c r="N112" s="29"/>
      <c r="O112" s="29"/>
      <c r="P112" s="29"/>
      <c r="Q112" s="29"/>
      <c r="R112" s="29"/>
      <c r="S112" s="29"/>
      <c r="T112" s="29"/>
      <c r="U112" s="29"/>
      <c r="V112" s="29"/>
      <c r="W112" s="29"/>
      <c r="X112" s="29"/>
      <c r="Y112" s="29"/>
      <c r="Z112" s="29"/>
      <c r="AA112" s="29"/>
      <c r="AB112" s="29"/>
      <c r="AC112" s="29"/>
      <c r="AF112" s="2" t="s">
        <v>23</v>
      </c>
      <c r="AG112" s="174">
        <f>IF(ISBLANK($AF$8),"",$AF$8)</f>
        <v>0</v>
      </c>
      <c r="AH112" s="174"/>
      <c r="AI112" s="174"/>
      <c r="AJ112" s="174"/>
      <c r="AK112" s="174"/>
    </row>
    <row r="113" spans="1:39" ht="15" customHeight="1" x14ac:dyDescent="0.3">
      <c r="B113" s="1" t="s">
        <v>10</v>
      </c>
      <c r="C113" s="1"/>
      <c r="D113" s="1"/>
      <c r="E113" s="1"/>
      <c r="F113" s="1"/>
      <c r="G113" s="1"/>
      <c r="H113" s="1"/>
      <c r="I113" s="1"/>
    </row>
    <row r="114" spans="1:39" ht="15" customHeight="1" x14ac:dyDescent="0.3">
      <c r="B114" s="189" t="s">
        <v>408</v>
      </c>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189"/>
    </row>
    <row r="115" spans="1:39" ht="15" customHeight="1" x14ac:dyDescent="0.3">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c r="AD115" s="189"/>
      <c r="AE115" s="189"/>
      <c r="AF115" s="189"/>
      <c r="AG115" s="189"/>
      <c r="AH115" s="189"/>
      <c r="AI115" s="189"/>
      <c r="AJ115" s="189"/>
      <c r="AK115" s="189"/>
    </row>
    <row r="116" spans="1:39" ht="15" customHeight="1" x14ac:dyDescent="0.3">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row>
    <row r="117" spans="1:39" ht="15" customHeight="1" x14ac:dyDescent="0.3">
      <c r="D117" s="2" t="s">
        <v>110</v>
      </c>
      <c r="E117" s="137"/>
      <c r="F117" s="137"/>
      <c r="G117" s="137"/>
      <c r="H117" s="137"/>
      <c r="I117" s="137"/>
      <c r="J117" s="137"/>
      <c r="K117" s="137"/>
      <c r="L117" s="137"/>
      <c r="M117" s="137"/>
      <c r="N117" s="137"/>
      <c r="O117" s="137"/>
      <c r="P117" s="137"/>
      <c r="Q117" s="137"/>
      <c r="R117" s="137"/>
      <c r="S117" s="137"/>
      <c r="T117" s="137"/>
      <c r="U117" s="137"/>
      <c r="V117" s="137"/>
      <c r="W117" s="137"/>
      <c r="X117" s="137"/>
      <c r="Y117" s="137"/>
      <c r="AB117" s="2" t="s">
        <v>256</v>
      </c>
      <c r="AC117" s="2"/>
      <c r="AD117" s="2"/>
      <c r="AE117" s="2"/>
    </row>
    <row r="118" spans="1:39" ht="15" customHeight="1" x14ac:dyDescent="0.3">
      <c r="D118" s="2" t="s">
        <v>81</v>
      </c>
      <c r="E118" s="150"/>
      <c r="F118" s="150"/>
      <c r="G118" s="150"/>
      <c r="H118" s="150"/>
      <c r="I118" s="150"/>
      <c r="J118" s="150"/>
      <c r="K118" s="150"/>
      <c r="L118" s="150"/>
      <c r="M118" s="150"/>
      <c r="N118" s="150"/>
      <c r="O118" s="150"/>
      <c r="P118" s="150"/>
      <c r="Q118" s="150"/>
      <c r="R118" s="150"/>
      <c r="S118" s="150"/>
      <c r="T118" s="150"/>
      <c r="U118" s="150"/>
      <c r="V118" s="150"/>
      <c r="W118" s="150"/>
      <c r="X118" s="150"/>
      <c r="Y118" s="150"/>
    </row>
    <row r="119" spans="1:39" ht="15" customHeight="1" x14ac:dyDescent="0.3">
      <c r="D119" s="2" t="s">
        <v>82</v>
      </c>
      <c r="E119" s="150"/>
      <c r="F119" s="150"/>
      <c r="G119" s="150"/>
      <c r="H119" s="150"/>
      <c r="I119" s="150"/>
      <c r="J119" s="150"/>
      <c r="K119" s="150"/>
      <c r="L119" s="150"/>
      <c r="M119" s="150"/>
      <c r="N119" s="150"/>
      <c r="O119" s="150"/>
      <c r="P119" s="150"/>
      <c r="Q119" s="150"/>
      <c r="R119" s="150"/>
      <c r="S119" s="150"/>
      <c r="T119" s="150"/>
      <c r="U119" s="150"/>
      <c r="V119" s="150"/>
      <c r="W119" s="150"/>
      <c r="X119" s="150"/>
      <c r="Y119" s="150"/>
    </row>
    <row r="120" spans="1:39" ht="15" customHeight="1" x14ac:dyDescent="0.3">
      <c r="D120" s="2" t="s">
        <v>242</v>
      </c>
      <c r="E120" s="150"/>
      <c r="F120" s="150"/>
      <c r="G120" s="150"/>
      <c r="H120" s="150"/>
      <c r="I120" s="150"/>
      <c r="J120" s="150"/>
      <c r="K120" s="150"/>
      <c r="L120" s="53"/>
      <c r="M120" s="53"/>
      <c r="N120" s="82" t="s">
        <v>85</v>
      </c>
      <c r="O120" s="150"/>
      <c r="P120" s="150"/>
      <c r="Q120" s="150"/>
      <c r="R120" s="150"/>
      <c r="S120" s="53"/>
      <c r="T120" s="53"/>
      <c r="U120" s="53"/>
      <c r="V120" s="82" t="s">
        <v>86</v>
      </c>
      <c r="W120" s="145"/>
      <c r="X120" s="145"/>
      <c r="Y120" s="145"/>
    </row>
    <row r="121" spans="1:39" ht="15" customHeight="1" x14ac:dyDescent="0.3">
      <c r="D121" s="2" t="s">
        <v>83</v>
      </c>
      <c r="E121" s="151"/>
      <c r="F121" s="151"/>
      <c r="G121" s="151"/>
      <c r="H121" s="151"/>
      <c r="I121" s="151"/>
      <c r="J121" s="151"/>
      <c r="K121" s="151"/>
      <c r="L121" s="151"/>
      <c r="M121" s="151"/>
      <c r="N121" s="151"/>
      <c r="O121" s="151"/>
      <c r="P121" s="151"/>
      <c r="Q121" s="151"/>
      <c r="R121" s="151"/>
      <c r="S121" s="151"/>
      <c r="T121" s="151"/>
      <c r="U121" s="151"/>
      <c r="V121" s="151"/>
      <c r="W121" s="151"/>
      <c r="X121" s="151"/>
      <c r="Y121" s="151"/>
    </row>
    <row r="122" spans="1:39" ht="15" customHeight="1" x14ac:dyDescent="0.3">
      <c r="D122" s="2" t="s">
        <v>87</v>
      </c>
      <c r="E122" s="147"/>
      <c r="F122" s="147"/>
      <c r="G122" s="147"/>
      <c r="H122" s="147"/>
      <c r="I122" s="147"/>
      <c r="U122" s="46"/>
      <c r="V122" s="46"/>
      <c r="W122" s="46"/>
    </row>
    <row r="123" spans="1:39" ht="15" customHeight="1" x14ac:dyDescent="0.3">
      <c r="D123" s="2"/>
      <c r="E123" s="53"/>
      <c r="F123" s="53"/>
      <c r="G123" s="53"/>
      <c r="H123" s="53"/>
      <c r="I123" s="53"/>
      <c r="U123" s="46"/>
      <c r="V123" s="46"/>
      <c r="W123" s="46"/>
    </row>
    <row r="124" spans="1:39" ht="15" customHeight="1" x14ac:dyDescent="0.3">
      <c r="D124" s="2" t="s">
        <v>111</v>
      </c>
      <c r="E124" s="66"/>
      <c r="F124" s="66"/>
      <c r="G124" s="66"/>
      <c r="H124" s="66"/>
      <c r="I124" s="66"/>
      <c r="J124" s="66"/>
      <c r="K124" s="66"/>
      <c r="L124" s="66"/>
      <c r="M124" s="66"/>
      <c r="N124" s="66"/>
      <c r="O124" s="66"/>
      <c r="P124" s="66"/>
      <c r="Q124" s="66"/>
      <c r="R124" s="66"/>
      <c r="S124" s="66"/>
      <c r="T124" s="66"/>
      <c r="U124" s="46"/>
      <c r="V124" s="46"/>
      <c r="W124" s="46"/>
      <c r="AB124" s="2" t="s">
        <v>109</v>
      </c>
      <c r="AC124" s="144"/>
      <c r="AD124" s="144"/>
      <c r="AE124" s="144"/>
      <c r="AF124" s="144"/>
      <c r="AG124" s="144"/>
    </row>
    <row r="125" spans="1:39" ht="15" customHeight="1" x14ac:dyDescent="0.3">
      <c r="S125" s="46"/>
      <c r="T125" s="46"/>
    </row>
    <row r="126" spans="1:39" ht="15" customHeight="1" x14ac:dyDescent="0.3">
      <c r="A126" s="32" t="s">
        <v>46</v>
      </c>
      <c r="B126" s="48"/>
      <c r="C126" s="48"/>
      <c r="D126" s="48"/>
      <c r="E126" s="48"/>
      <c r="F126" s="48"/>
      <c r="G126" s="48"/>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86" t="s">
        <v>265</v>
      </c>
      <c r="AF126" s="175">
        <f>'Form 2D - Design'!AE7</f>
        <v>0</v>
      </c>
      <c r="AG126" s="175"/>
      <c r="AH126" s="175"/>
      <c r="AI126" s="175"/>
      <c r="AJ126" s="175"/>
      <c r="AK126" s="175"/>
      <c r="AL126" s="34"/>
      <c r="AM126" s="18" t="s">
        <v>243</v>
      </c>
    </row>
    <row r="127" spans="1:39" ht="15" customHeight="1" x14ac:dyDescent="0.3">
      <c r="A127" s="35"/>
      <c r="B127" s="6"/>
      <c r="C127" s="6"/>
      <c r="D127" s="6"/>
      <c r="E127" s="6"/>
      <c r="F127" s="6"/>
      <c r="G127" s="6"/>
      <c r="H127" s="6"/>
      <c r="I127" s="6"/>
      <c r="J127" s="36" t="s">
        <v>47</v>
      </c>
      <c r="K127" s="36"/>
      <c r="L127" s="37" t="s">
        <v>123</v>
      </c>
      <c r="M127" s="36"/>
      <c r="N127" s="37"/>
      <c r="O127" s="37"/>
      <c r="P127" s="37"/>
      <c r="Q127" s="6"/>
      <c r="R127" s="6"/>
      <c r="S127" s="6"/>
      <c r="T127" s="6"/>
      <c r="U127" s="6"/>
      <c r="V127" s="6"/>
      <c r="W127" s="6"/>
      <c r="X127" s="6"/>
      <c r="Y127" s="6"/>
      <c r="Z127" s="6"/>
      <c r="AA127" s="6"/>
      <c r="AB127" s="6"/>
      <c r="AC127" s="6"/>
      <c r="AD127" s="6"/>
      <c r="AE127" s="6"/>
      <c r="AF127" s="6"/>
      <c r="AG127" s="6"/>
      <c r="AH127" s="6"/>
      <c r="AI127" s="6"/>
      <c r="AJ127" s="6"/>
      <c r="AK127" s="6"/>
      <c r="AL127" s="38"/>
      <c r="AM127" s="77">
        <f>SUM(AM128:AM134)</f>
        <v>6</v>
      </c>
    </row>
    <row r="128" spans="1:39" ht="15" customHeight="1" x14ac:dyDescent="0.3">
      <c r="A128" s="35"/>
      <c r="B128" s="6"/>
      <c r="C128" s="6"/>
      <c r="D128" s="6"/>
      <c r="E128" s="6"/>
      <c r="F128" s="6"/>
      <c r="G128" s="6"/>
      <c r="H128" s="6"/>
      <c r="I128" s="6"/>
      <c r="J128" s="79" t="s">
        <v>204</v>
      </c>
      <c r="K128" s="7"/>
      <c r="L128" s="6"/>
      <c r="M128" s="7"/>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38"/>
      <c r="AM128" s="77">
        <f>IF(L128="",0,1)</f>
        <v>0</v>
      </c>
    </row>
    <row r="129" spans="1:39" ht="15" customHeight="1" x14ac:dyDescent="0.3">
      <c r="A129" s="35"/>
      <c r="B129" s="6"/>
      <c r="C129" s="6"/>
      <c r="D129" s="6"/>
      <c r="E129" s="6"/>
      <c r="F129" s="6"/>
      <c r="G129" s="6"/>
      <c r="H129" s="6"/>
      <c r="I129" s="6"/>
      <c r="J129" s="7" t="s">
        <v>209</v>
      </c>
      <c r="K129" s="7"/>
      <c r="L129" s="6" t="str">
        <f>IF(ISBLANK(AH53),Tables!J7,IF(AH53&gt;96,Tables!J7,""))</f>
        <v>Drain time exceeds the recommended 96 hours</v>
      </c>
      <c r="M129" s="7"/>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38"/>
      <c r="AM129" s="77">
        <f t="shared" ref="AM129:AM133" si="0">IF(L129="",0,1)</f>
        <v>1</v>
      </c>
    </row>
    <row r="130" spans="1:39" ht="15" customHeight="1" x14ac:dyDescent="0.3">
      <c r="A130" s="35"/>
      <c r="B130" s="6"/>
      <c r="C130" s="6"/>
      <c r="D130" s="6"/>
      <c r="E130" s="6"/>
      <c r="F130" s="6"/>
      <c r="G130" s="6"/>
      <c r="H130" s="6"/>
      <c r="I130" s="6"/>
      <c r="J130" s="7" t="s">
        <v>210</v>
      </c>
      <c r="K130" s="7"/>
      <c r="L130" s="6" t="str">
        <f>IF(ISBLANK(AH54),Tables!J8,IF(AH54&gt;12,Tables!J8,""))</f>
        <v>Drain time exceeds the recommended 12 hours</v>
      </c>
      <c r="M130" s="7"/>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38"/>
      <c r="AM130" s="77">
        <f t="shared" si="0"/>
        <v>1</v>
      </c>
    </row>
    <row r="131" spans="1:39" ht="15" customHeight="1" x14ac:dyDescent="0.3">
      <c r="A131" s="35"/>
      <c r="B131" s="6"/>
      <c r="C131" s="6"/>
      <c r="D131" s="6"/>
      <c r="E131" s="6"/>
      <c r="F131" s="6"/>
      <c r="G131" s="6"/>
      <c r="H131" s="6"/>
      <c r="I131" s="6"/>
      <c r="J131" s="7" t="s">
        <v>413</v>
      </c>
      <c r="K131" s="7"/>
      <c r="L131" s="6" t="str">
        <f>IF(AP63&lt;2,Tables!J3,"")</f>
        <v>Latitude and/or Longitude not provided</v>
      </c>
      <c r="M131" s="7"/>
      <c r="N131" s="7"/>
      <c r="O131" s="6"/>
      <c r="P131" s="6"/>
      <c r="Q131" s="6"/>
      <c r="R131" s="6"/>
      <c r="S131" s="6"/>
      <c r="T131" s="6"/>
      <c r="U131" s="6"/>
      <c r="V131" s="6"/>
      <c r="W131" s="6"/>
      <c r="X131" s="6"/>
      <c r="Y131" s="6"/>
      <c r="Z131" s="6"/>
      <c r="AA131" s="6"/>
      <c r="AB131" s="6"/>
      <c r="AC131" s="6"/>
      <c r="AD131" s="6"/>
      <c r="AE131" s="6"/>
      <c r="AF131" s="6"/>
      <c r="AG131" s="6"/>
      <c r="AH131" s="6"/>
      <c r="AI131" s="6"/>
      <c r="AJ131" s="6"/>
      <c r="AK131" s="6"/>
      <c r="AL131" s="38"/>
      <c r="AM131" s="77">
        <f t="shared" si="0"/>
        <v>1</v>
      </c>
    </row>
    <row r="132" spans="1:39" ht="15" customHeight="1" x14ac:dyDescent="0.3">
      <c r="A132" s="35"/>
      <c r="B132" s="6"/>
      <c r="C132" s="6"/>
      <c r="D132" s="6"/>
      <c r="E132" s="6"/>
      <c r="F132" s="6"/>
      <c r="G132" s="6"/>
      <c r="H132" s="6"/>
      <c r="I132" s="6"/>
      <c r="J132" s="7"/>
      <c r="K132" s="7"/>
      <c r="L132" s="6" t="str">
        <f>IF(AND(AP64=1,AP65=1),Tables!$J$4,IF(OR(AP64=3,AP65=3),Tables!$J$4,""))</f>
        <v>Latitude and/or Longitude has been entered as text.  Change to a number.</v>
      </c>
      <c r="M132" s="7"/>
      <c r="N132" s="7"/>
      <c r="O132" s="6"/>
      <c r="P132" s="6"/>
      <c r="Q132" s="6"/>
      <c r="R132" s="6"/>
      <c r="S132" s="6"/>
      <c r="T132" s="6"/>
      <c r="U132" s="6"/>
      <c r="V132" s="6"/>
      <c r="W132" s="6"/>
      <c r="X132" s="6"/>
      <c r="Y132" s="6"/>
      <c r="Z132" s="6"/>
      <c r="AA132" s="6"/>
      <c r="AB132" s="6"/>
      <c r="AC132" s="6"/>
      <c r="AD132" s="6"/>
      <c r="AE132" s="6"/>
      <c r="AF132" s="6"/>
      <c r="AG132" s="6"/>
      <c r="AH132" s="6"/>
      <c r="AI132" s="6"/>
      <c r="AJ132" s="6"/>
      <c r="AK132" s="6"/>
      <c r="AL132" s="38"/>
      <c r="AM132" s="77">
        <f t="shared" si="0"/>
        <v>1</v>
      </c>
    </row>
    <row r="133" spans="1:39" ht="15" customHeight="1" x14ac:dyDescent="0.3">
      <c r="A133" s="35"/>
      <c r="B133" s="6"/>
      <c r="C133" s="6"/>
      <c r="D133" s="6"/>
      <c r="E133" s="6"/>
      <c r="F133" s="6"/>
      <c r="G133" s="6"/>
      <c r="H133" s="6"/>
      <c r="I133" s="6"/>
      <c r="J133" s="7" t="s">
        <v>93</v>
      </c>
      <c r="K133" s="7"/>
      <c r="L133" s="6" t="str">
        <f>IF(ISBLANK(AC56),Tables!J9,IF(AC56&lt;J56,Tables!J9,""))</f>
        <v>WQv Required &gt; WQv Provided</v>
      </c>
      <c r="M133" s="7"/>
      <c r="N133" s="7"/>
      <c r="O133" s="6"/>
      <c r="P133" s="6"/>
      <c r="Q133" s="6"/>
      <c r="R133" s="6"/>
      <c r="S133" s="6"/>
      <c r="T133" s="6"/>
      <c r="U133" s="6"/>
      <c r="V133" s="6"/>
      <c r="W133" s="6"/>
      <c r="X133" s="6"/>
      <c r="Y133" s="6"/>
      <c r="Z133" s="6"/>
      <c r="AA133" s="6"/>
      <c r="AB133" s="6"/>
      <c r="AC133" s="6"/>
      <c r="AD133" s="6"/>
      <c r="AE133" s="6"/>
      <c r="AF133" s="6"/>
      <c r="AG133" s="6"/>
      <c r="AH133" s="6"/>
      <c r="AI133" s="6"/>
      <c r="AJ133" s="6"/>
      <c r="AK133" s="6"/>
      <c r="AL133" s="38"/>
      <c r="AM133" s="77">
        <f t="shared" si="0"/>
        <v>1</v>
      </c>
    </row>
    <row r="134" spans="1:39" ht="15" customHeight="1" x14ac:dyDescent="0.3">
      <c r="A134" s="39"/>
      <c r="B134" s="40"/>
      <c r="C134" s="40"/>
      <c r="D134" s="40"/>
      <c r="E134" s="40"/>
      <c r="F134" s="40"/>
      <c r="G134" s="40"/>
      <c r="H134" s="40"/>
      <c r="I134" s="40"/>
      <c r="J134" s="83" t="s">
        <v>280</v>
      </c>
      <c r="K134" s="41"/>
      <c r="L134" s="84" t="str">
        <f>IF(AM87=8,Tables!J11,IF(AP87&gt;0,Tables!J11,0))</f>
        <v>All required photographs are not provided</v>
      </c>
      <c r="M134" s="41"/>
      <c r="N134" s="41"/>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2"/>
      <c r="AM134" s="77">
        <f>IF(L134="",0,1)</f>
        <v>1</v>
      </c>
    </row>
    <row r="135" spans="1:39" ht="15" customHeight="1" x14ac:dyDescent="0.3"/>
    <row r="136" spans="1:39" ht="15" customHeight="1" x14ac:dyDescent="0.3"/>
    <row r="137" spans="1:39" ht="15" customHeight="1" x14ac:dyDescent="0.3"/>
    <row r="138" spans="1:39" ht="15" customHeight="1" x14ac:dyDescent="0.3"/>
    <row r="139" spans="1:39" ht="15" customHeight="1" x14ac:dyDescent="0.3"/>
    <row r="140" spans="1:39" ht="15" customHeight="1" x14ac:dyDescent="0.3"/>
    <row r="141" spans="1:39" ht="15" customHeight="1" x14ac:dyDescent="0.3"/>
    <row r="142" spans="1:39" ht="15" customHeight="1" x14ac:dyDescent="0.3"/>
    <row r="143" spans="1:39" ht="15" customHeight="1" x14ac:dyDescent="0.3"/>
    <row r="144" spans="1:39" ht="15" customHeight="1" x14ac:dyDescent="0.3"/>
    <row r="145" spans="2:37" ht="15" customHeight="1" x14ac:dyDescent="0.3"/>
    <row r="146" spans="2:37" ht="15" customHeight="1" x14ac:dyDescent="0.3"/>
    <row r="147" spans="2:37" ht="15" customHeight="1" x14ac:dyDescent="0.3"/>
    <row r="148" spans="2:37" ht="15" customHeight="1" x14ac:dyDescent="0.3"/>
    <row r="149" spans="2:37" ht="15" customHeight="1" x14ac:dyDescent="0.3"/>
    <row r="150" spans="2:37" ht="15" customHeight="1" x14ac:dyDescent="0.3"/>
    <row r="151" spans="2:37" ht="15" customHeight="1" x14ac:dyDescent="0.3"/>
    <row r="152" spans="2:37" ht="15" customHeight="1" x14ac:dyDescent="0.3"/>
    <row r="153" spans="2:37" ht="15" customHeight="1" x14ac:dyDescent="0.3">
      <c r="AK153" s="25"/>
    </row>
    <row r="154" spans="2:37" ht="15" customHeight="1" x14ac:dyDescent="0.3">
      <c r="B154" s="131">
        <f>Tables!$F$13</f>
        <v>46266</v>
      </c>
      <c r="C154" s="131"/>
      <c r="D154" s="131"/>
      <c r="E154" s="131"/>
      <c r="F154" s="131"/>
      <c r="G154" s="131"/>
      <c r="H154" s="131"/>
      <c r="R154" s="132" t="s">
        <v>409</v>
      </c>
      <c r="S154" s="132"/>
      <c r="T154" s="132"/>
      <c r="U154" s="132"/>
    </row>
    <row r="155" spans="2:37" ht="15" customHeight="1" x14ac:dyDescent="0.3"/>
    <row r="156" spans="2:37" ht="15" customHeight="1" x14ac:dyDescent="0.3"/>
  </sheetData>
  <sheetProtection algorithmName="SHA-512" hashValue="4WnqVCM+syES8dmu3bs9Dnd4i1zar/p86XTu2k2Dd4o1dSvBTWXyAA0xOc0mb0VCYoVKKo0F0Cx9bMaed82h9w==" saltValue="VLbBJpwx+MQdKNn9+bvdXA==" spinCount="100000" sheet="1" objects="1" scenarios="1" selectLockedCells="1"/>
  <mergeCells count="148">
    <mergeCell ref="AG24:AI24"/>
    <mergeCell ref="B114:AK115"/>
    <mergeCell ref="Y95:Z95"/>
    <mergeCell ref="AC95:AI95"/>
    <mergeCell ref="AD6:AK6"/>
    <mergeCell ref="V1:AL4"/>
    <mergeCell ref="Y44:AA44"/>
    <mergeCell ref="Y45:AA45"/>
    <mergeCell ref="AH42:AJ42"/>
    <mergeCell ref="AH44:AJ44"/>
    <mergeCell ref="AH45:AJ45"/>
    <mergeCell ref="AG19:AK19"/>
    <mergeCell ref="AG25:AI25"/>
    <mergeCell ref="AG23:AI23"/>
    <mergeCell ref="AG22:AI22"/>
    <mergeCell ref="AG36:AI36"/>
    <mergeCell ref="AB31:AD31"/>
    <mergeCell ref="AG31:AI31"/>
    <mergeCell ref="AB30:AD30"/>
    <mergeCell ref="AG30:AI30"/>
    <mergeCell ref="Y35:AB35"/>
    <mergeCell ref="AH53:AJ53"/>
    <mergeCell ref="AH54:AJ54"/>
    <mergeCell ref="AH50:AJ50"/>
    <mergeCell ref="BJ1:BY4"/>
    <mergeCell ref="AG14:AI14"/>
    <mergeCell ref="B154:H154"/>
    <mergeCell ref="R154:U154"/>
    <mergeCell ref="E117:Y117"/>
    <mergeCell ref="E118:Y118"/>
    <mergeCell ref="E119:Y119"/>
    <mergeCell ref="E120:K120"/>
    <mergeCell ref="O120:R120"/>
    <mergeCell ref="W120:Y120"/>
    <mergeCell ref="E121:Y121"/>
    <mergeCell ref="E122:I122"/>
    <mergeCell ref="Y28:AB28"/>
    <mergeCell ref="AC124:AG124"/>
    <mergeCell ref="N14:P14"/>
    <mergeCell ref="Z82:AC82"/>
    <mergeCell ref="AH82:AK82"/>
    <mergeCell ref="B58:H58"/>
    <mergeCell ref="R58:U58"/>
    <mergeCell ref="Z76:AK76"/>
    <mergeCell ref="AG15:AI15"/>
    <mergeCell ref="AG35:AI35"/>
    <mergeCell ref="Y42:AB42"/>
    <mergeCell ref="Y43:AA43"/>
    <mergeCell ref="F35:I35"/>
    <mergeCell ref="O35:Q35"/>
    <mergeCell ref="N25:P25"/>
    <mergeCell ref="Y48:AB48"/>
    <mergeCell ref="AH49:AJ49"/>
    <mergeCell ref="AC53:AE53"/>
    <mergeCell ref="AC54:AE54"/>
    <mergeCell ref="AH48:AJ48"/>
    <mergeCell ref="Y49:AA49"/>
    <mergeCell ref="Y50:AA50"/>
    <mergeCell ref="O45:Q45"/>
    <mergeCell ref="F48:I48"/>
    <mergeCell ref="O48:Q48"/>
    <mergeCell ref="F49:H49"/>
    <mergeCell ref="AB25:AD25"/>
    <mergeCell ref="O36:Q36"/>
    <mergeCell ref="O50:Q50"/>
    <mergeCell ref="J53:L53"/>
    <mergeCell ref="O53:Q53"/>
    <mergeCell ref="AB23:AD23"/>
    <mergeCell ref="AB22:AD22"/>
    <mergeCell ref="I24:K24"/>
    <mergeCell ref="N24:P24"/>
    <mergeCell ref="AB24:AD24"/>
    <mergeCell ref="N22:P22"/>
    <mergeCell ref="N23:P23"/>
    <mergeCell ref="I30:K30"/>
    <mergeCell ref="N30:P30"/>
    <mergeCell ref="D59:Z59"/>
    <mergeCell ref="F43:H43"/>
    <mergeCell ref="F44:H44"/>
    <mergeCell ref="O44:Q44"/>
    <mergeCell ref="F73:V73"/>
    <mergeCell ref="J56:L56"/>
    <mergeCell ref="F50:H50"/>
    <mergeCell ref="O49:Q49"/>
    <mergeCell ref="O54:Q54"/>
    <mergeCell ref="J54:L54"/>
    <mergeCell ref="I63:L63"/>
    <mergeCell ref="I64:L64"/>
    <mergeCell ref="AF126:AK126"/>
    <mergeCell ref="AR6:BC7"/>
    <mergeCell ref="A12:AL12"/>
    <mergeCell ref="A62:AL62"/>
    <mergeCell ref="F42:I42"/>
    <mergeCell ref="O42:Q42"/>
    <mergeCell ref="E7:Z7"/>
    <mergeCell ref="N15:P15"/>
    <mergeCell ref="E8:Z8"/>
    <mergeCell ref="F28:I28"/>
    <mergeCell ref="N31:P31"/>
    <mergeCell ref="N19:R19"/>
    <mergeCell ref="AF7:AK7"/>
    <mergeCell ref="AF8:AK8"/>
    <mergeCell ref="F45:H45"/>
    <mergeCell ref="AG59:AK59"/>
    <mergeCell ref="AG60:AK60"/>
    <mergeCell ref="AC56:AE56"/>
    <mergeCell ref="B66:AK70"/>
    <mergeCell ref="AH75:AK75"/>
    <mergeCell ref="I22:K22"/>
    <mergeCell ref="I23:K23"/>
    <mergeCell ref="I31:K31"/>
    <mergeCell ref="I25:K25"/>
    <mergeCell ref="Y97:Z97"/>
    <mergeCell ref="AC97:AI97"/>
    <mergeCell ref="Y99:Z99"/>
    <mergeCell ref="AC99:AI99"/>
    <mergeCell ref="AG112:AK112"/>
    <mergeCell ref="F82:V82"/>
    <mergeCell ref="D111:Z111"/>
    <mergeCell ref="AG111:AK111"/>
    <mergeCell ref="F83:V83"/>
    <mergeCell ref="AG84:AK84"/>
    <mergeCell ref="R110:U110"/>
    <mergeCell ref="B110:H110"/>
    <mergeCell ref="Z83:AK83"/>
    <mergeCell ref="Y101:Z101"/>
    <mergeCell ref="AC101:AI101"/>
    <mergeCell ref="Y103:Z103"/>
    <mergeCell ref="AC103:AI103"/>
    <mergeCell ref="Y105:Z105"/>
    <mergeCell ref="AC105:AI105"/>
    <mergeCell ref="Y107:Z107"/>
    <mergeCell ref="AC107:AI107"/>
    <mergeCell ref="AG77:AK77"/>
    <mergeCell ref="F84:V84"/>
    <mergeCell ref="Y91:Z91"/>
    <mergeCell ref="AC91:AI91"/>
    <mergeCell ref="Y93:Z93"/>
    <mergeCell ref="AC93:AI93"/>
    <mergeCell ref="F80:V80"/>
    <mergeCell ref="F81:V81"/>
    <mergeCell ref="AD63:AG63"/>
    <mergeCell ref="AD64:AG64"/>
    <mergeCell ref="F76:V76"/>
    <mergeCell ref="F77:V77"/>
    <mergeCell ref="Z75:AC75"/>
    <mergeCell ref="F74:V74"/>
    <mergeCell ref="F75:V75"/>
  </mergeCells>
  <conditionalFormatting sqref="B66:AK70">
    <cfRule type="cellIs" priority="1388" stopIfTrue="1" operator="greaterThan">
      <formula>0</formula>
    </cfRule>
    <cfRule type="expression" dxfId="73" priority="1389">
      <formula>$AM$127&gt;0</formula>
    </cfRule>
  </conditionalFormatting>
  <conditionalFormatting sqref="C89 E89">
    <cfRule type="expression" dxfId="72" priority="97">
      <formula>ISBLANK(C89)</formula>
    </cfRule>
  </conditionalFormatting>
  <conditionalFormatting sqref="C91 E91">
    <cfRule type="expression" dxfId="71" priority="123">
      <formula>ISBLANK(C91)</formula>
    </cfRule>
  </conditionalFormatting>
  <conditionalFormatting sqref="C93 E93">
    <cfRule type="expression" dxfId="70" priority="70">
      <formula>ISBLANK(C93)</formula>
    </cfRule>
  </conditionalFormatting>
  <conditionalFormatting sqref="C95 E95">
    <cfRule type="expression" dxfId="69" priority="5">
      <formula>ISBLANK(C95)</formula>
    </cfRule>
  </conditionalFormatting>
  <conditionalFormatting sqref="C97 E97">
    <cfRule type="expression" dxfId="68" priority="67">
      <formula>ISBLANK(C97)</formula>
    </cfRule>
  </conditionalFormatting>
  <conditionalFormatting sqref="C99 E99">
    <cfRule type="expression" dxfId="67" priority="64">
      <formula>ISBLANK(C99)</formula>
    </cfRule>
  </conditionalFormatting>
  <conditionalFormatting sqref="C101 E101">
    <cfRule type="expression" dxfId="66" priority="61">
      <formula>ISBLANK(C101)</formula>
    </cfRule>
  </conditionalFormatting>
  <conditionalFormatting sqref="C103 E103">
    <cfRule type="expression" dxfId="65" priority="58">
      <formula>ISBLANK(C103)</formula>
    </cfRule>
  </conditionalFormatting>
  <conditionalFormatting sqref="C105 E105">
    <cfRule type="expression" dxfId="64" priority="49">
      <formula>ISBLANK(C105)</formula>
    </cfRule>
  </conditionalFormatting>
  <conditionalFormatting sqref="C107 E107">
    <cfRule type="expression" dxfId="63" priority="46">
      <formula>ISBLANK(C107)</formula>
    </cfRule>
  </conditionalFormatting>
  <conditionalFormatting sqref="D59:Z59">
    <cfRule type="cellIs" dxfId="62" priority="367" operator="equal">
      <formula>0</formula>
    </cfRule>
  </conditionalFormatting>
  <conditionalFormatting sqref="D111:Z111">
    <cfRule type="cellIs" dxfId="61" priority="360" operator="equal">
      <formula>0</formula>
    </cfRule>
  </conditionalFormatting>
  <conditionalFormatting sqref="E89 C89">
    <cfRule type="expression" priority="96" stopIfTrue="1">
      <formula>$AM$89=2</formula>
    </cfRule>
  </conditionalFormatting>
  <conditionalFormatting sqref="E89">
    <cfRule type="expression" dxfId="60" priority="95">
      <formula>$AN$89=2</formula>
    </cfRule>
  </conditionalFormatting>
  <conditionalFormatting sqref="E91 C91">
    <cfRule type="expression" priority="122" stopIfTrue="1">
      <formula>$AM91=2</formula>
    </cfRule>
  </conditionalFormatting>
  <conditionalFormatting sqref="E91">
    <cfRule type="expression" dxfId="59" priority="121">
      <formula>$AN91=2</formula>
    </cfRule>
  </conditionalFormatting>
  <conditionalFormatting sqref="E93 C93">
    <cfRule type="expression" priority="69" stopIfTrue="1">
      <formula>$AM93=2</formula>
    </cfRule>
  </conditionalFormatting>
  <conditionalFormatting sqref="E93">
    <cfRule type="expression" dxfId="58" priority="68">
      <formula>$AN93=2</formula>
    </cfRule>
  </conditionalFormatting>
  <conditionalFormatting sqref="E95 C95">
    <cfRule type="expression" priority="4" stopIfTrue="1">
      <formula>$AM95=2</formula>
    </cfRule>
  </conditionalFormatting>
  <conditionalFormatting sqref="E95">
    <cfRule type="expression" dxfId="57" priority="3">
      <formula>$AN95=2</formula>
    </cfRule>
  </conditionalFormatting>
  <conditionalFormatting sqref="E97 C97">
    <cfRule type="expression" priority="66" stopIfTrue="1">
      <formula>$AM97=2</formula>
    </cfRule>
  </conditionalFormatting>
  <conditionalFormatting sqref="E97">
    <cfRule type="expression" dxfId="56" priority="65">
      <formula>$AN97=2</formula>
    </cfRule>
  </conditionalFormatting>
  <conditionalFormatting sqref="E99 C99">
    <cfRule type="expression" priority="63" stopIfTrue="1">
      <formula>$AM99=2</formula>
    </cfRule>
  </conditionalFormatting>
  <conditionalFormatting sqref="E99">
    <cfRule type="expression" dxfId="55" priority="62">
      <formula>$AN99=2</formula>
    </cfRule>
  </conditionalFormatting>
  <conditionalFormatting sqref="E101 C101">
    <cfRule type="expression" priority="60" stopIfTrue="1">
      <formula>$AM101=2</formula>
    </cfRule>
  </conditionalFormatting>
  <conditionalFormatting sqref="E101">
    <cfRule type="expression" dxfId="54" priority="59">
      <formula>$AN101=2</formula>
    </cfRule>
  </conditionalFormatting>
  <conditionalFormatting sqref="E103 C103">
    <cfRule type="expression" priority="57" stopIfTrue="1">
      <formula>$AM103=2</formula>
    </cfRule>
  </conditionalFormatting>
  <conditionalFormatting sqref="E103">
    <cfRule type="expression" dxfId="53" priority="56">
      <formula>$AN103=2</formula>
    </cfRule>
  </conditionalFormatting>
  <conditionalFormatting sqref="E105 C105">
    <cfRule type="expression" priority="48" stopIfTrue="1">
      <formula>$AM105=2</formula>
    </cfRule>
  </conditionalFormatting>
  <conditionalFormatting sqref="E105">
    <cfRule type="expression" dxfId="52" priority="47">
      <formula>$AN105=2</formula>
    </cfRule>
  </conditionalFormatting>
  <conditionalFormatting sqref="E107 C107">
    <cfRule type="expression" priority="45" stopIfTrue="1">
      <formula>$AM107=2</formula>
    </cfRule>
  </conditionalFormatting>
  <conditionalFormatting sqref="E107">
    <cfRule type="expression" dxfId="51" priority="44">
      <formula>$AN107=2</formula>
    </cfRule>
  </conditionalFormatting>
  <conditionalFormatting sqref="E117:E118">
    <cfRule type="expression" dxfId="50" priority="132">
      <formula>ISBLANK(E117)</formula>
    </cfRule>
  </conditionalFormatting>
  <conditionalFormatting sqref="E119:Y119 E120:E122">
    <cfRule type="expression" dxfId="49" priority="130">
      <formula>ISBLANK(E119)</formula>
    </cfRule>
  </conditionalFormatting>
  <conditionalFormatting sqref="E7:Z8 AF8">
    <cfRule type="cellIs" dxfId="48" priority="354" operator="equal">
      <formula>0</formula>
    </cfRule>
  </conditionalFormatting>
  <conditionalFormatting sqref="F73:F77">
    <cfRule type="expression" dxfId="47" priority="23">
      <formula>ISBLANK(F73)</formula>
    </cfRule>
  </conditionalFormatting>
  <conditionalFormatting sqref="F80:F84 AH82 Z82:Z83 AG84">
    <cfRule type="expression" dxfId="46" priority="463">
      <formula>ISBLANK(F80)</formula>
    </cfRule>
    <cfRule type="expression" priority="375" stopIfTrue="1">
      <formula>$AM$79=2</formula>
    </cfRule>
  </conditionalFormatting>
  <conditionalFormatting sqref="G10 N10 X10">
    <cfRule type="expression" dxfId="45" priority="373">
      <formula>ISBLANK(G10)</formula>
    </cfRule>
  </conditionalFormatting>
  <conditionalFormatting sqref="O120 W120">
    <cfRule type="expression" dxfId="44" priority="129">
      <formula>ISBLANK(O120)</formula>
    </cfRule>
  </conditionalFormatting>
  <conditionalFormatting sqref="Y19 AB19">
    <cfRule type="expression" dxfId="43" priority="311">
      <formula>ISBLANK(AB19)</formula>
    </cfRule>
    <cfRule type="expression" priority="310" stopIfTrue="1">
      <formula>$AM$19=2</formula>
    </cfRule>
    <cfRule type="cellIs" priority="309" stopIfTrue="1" operator="greaterThan">
      <formula>0</formula>
    </cfRule>
  </conditionalFormatting>
  <conditionalFormatting sqref="Y48 AH48 AC53:AE54 AH53:AJ54">
    <cfRule type="expression" dxfId="42" priority="159">
      <formula>ISBLANK(Y48)</formula>
    </cfRule>
  </conditionalFormatting>
  <conditionalFormatting sqref="Y91 AC91">
    <cfRule type="cellIs" priority="119" stopIfTrue="1" operator="greaterThan">
      <formula>0</formula>
    </cfRule>
    <cfRule type="expression" dxfId="41" priority="120">
      <formula>$AO91=2</formula>
    </cfRule>
  </conditionalFormatting>
  <conditionalFormatting sqref="Y93 AC93">
    <cfRule type="expression" dxfId="40" priority="43">
      <formula>$AO93=2</formula>
    </cfRule>
    <cfRule type="cellIs" priority="42" stopIfTrue="1" operator="greaterThan">
      <formula>0</formula>
    </cfRule>
  </conditionalFormatting>
  <conditionalFormatting sqref="Y95 AC95">
    <cfRule type="expression" dxfId="39" priority="2">
      <formula>$AO95=2</formula>
    </cfRule>
    <cfRule type="cellIs" priority="1" stopIfTrue="1" operator="greaterThan">
      <formula>0</formula>
    </cfRule>
  </conditionalFormatting>
  <conditionalFormatting sqref="Y97 AC97">
    <cfRule type="expression" dxfId="38" priority="41">
      <formula>$AO97=2</formula>
    </cfRule>
    <cfRule type="cellIs" priority="40" stopIfTrue="1" operator="greaterThan">
      <formula>0</formula>
    </cfRule>
  </conditionalFormatting>
  <conditionalFormatting sqref="Y99 AC99">
    <cfRule type="cellIs" priority="38" stopIfTrue="1" operator="greaterThan">
      <formula>0</formula>
    </cfRule>
    <cfRule type="expression" dxfId="37" priority="39">
      <formula>$AO99=2</formula>
    </cfRule>
  </conditionalFormatting>
  <conditionalFormatting sqref="Y101 AC101">
    <cfRule type="cellIs" priority="36" stopIfTrue="1" operator="greaterThan">
      <formula>0</formula>
    </cfRule>
    <cfRule type="expression" dxfId="36" priority="37">
      <formula>$AO101=2</formula>
    </cfRule>
  </conditionalFormatting>
  <conditionalFormatting sqref="Y103 AC103">
    <cfRule type="cellIs" priority="34" stopIfTrue="1" operator="greaterThan">
      <formula>0</formula>
    </cfRule>
    <cfRule type="expression" dxfId="35" priority="35">
      <formula>$AO103=2</formula>
    </cfRule>
  </conditionalFormatting>
  <conditionalFormatting sqref="Y105 AC105">
    <cfRule type="cellIs" priority="28" stopIfTrue="1" operator="greaterThan">
      <formula>0</formula>
    </cfRule>
    <cfRule type="expression" dxfId="34" priority="29">
      <formula>$AO105=2</formula>
    </cfRule>
  </conditionalFormatting>
  <conditionalFormatting sqref="Y107 AC107">
    <cfRule type="expression" dxfId="33" priority="27">
      <formula>$AO107=2</formula>
    </cfRule>
    <cfRule type="cellIs" priority="26" stopIfTrue="1" operator="greaterThan">
      <formula>0</formula>
    </cfRule>
  </conditionalFormatting>
  <conditionalFormatting sqref="Y43:AA43">
    <cfRule type="expression" priority="168" stopIfTrue="1">
      <formula>$AM$44=2</formula>
    </cfRule>
    <cfRule type="cellIs" priority="169" stopIfTrue="1" operator="greaterThan">
      <formula>0</formula>
    </cfRule>
    <cfRule type="expression" dxfId="32" priority="170">
      <formula>ISBLANK(Y43)</formula>
    </cfRule>
  </conditionalFormatting>
  <conditionalFormatting sqref="Y43:AA45 AH44:AJ45">
    <cfRule type="expression" priority="160" stopIfTrue="1">
      <formula>$AM$38=2</formula>
    </cfRule>
  </conditionalFormatting>
  <conditionalFormatting sqref="Y44:AA44 AH44:AJ44">
    <cfRule type="expression" dxfId="31" priority="166">
      <formula>ISBLANK(Y44)</formula>
    </cfRule>
    <cfRule type="cellIs" priority="165" stopIfTrue="1" operator="greaterThan">
      <formula>0</formula>
    </cfRule>
    <cfRule type="expression" priority="164" stopIfTrue="1">
      <formula>$AM$43=2</formula>
    </cfRule>
  </conditionalFormatting>
  <conditionalFormatting sqref="Y45:AA45 AH45:AJ45">
    <cfRule type="expression" dxfId="30" priority="162">
      <formula>ISBLANK(Y45)</formula>
    </cfRule>
    <cfRule type="cellIs" priority="161" stopIfTrue="1" operator="greaterThan">
      <formula>0</formula>
    </cfRule>
  </conditionalFormatting>
  <conditionalFormatting sqref="Y49:AA49">
    <cfRule type="expression" priority="155" stopIfTrue="1">
      <formula>$AM$50=2</formula>
    </cfRule>
    <cfRule type="cellIs" priority="156" stopIfTrue="1" operator="greaterThan">
      <formula>0</formula>
    </cfRule>
    <cfRule type="expression" dxfId="29" priority="157">
      <formula>ISBLANK(Y49)</formula>
    </cfRule>
  </conditionalFormatting>
  <conditionalFormatting sqref="Y50:AA50 AH50:AJ50">
    <cfRule type="expression" priority="152" stopIfTrue="1">
      <formula>$AM$49=2</formula>
    </cfRule>
  </conditionalFormatting>
  <conditionalFormatting sqref="Y28:AB28 AB30:AD31 AG30:AI31">
    <cfRule type="cellIs" priority="188" stopIfTrue="1" operator="greaterThan">
      <formula>0</formula>
    </cfRule>
    <cfRule type="expression" dxfId="28" priority="190">
      <formula>ISBLANK(Y28)</formula>
    </cfRule>
    <cfRule type="expression" priority="189" stopIfTrue="1">
      <formula>$AM$27=2</formula>
    </cfRule>
  </conditionalFormatting>
  <conditionalFormatting sqref="Y35:AB35 AG35:AI36">
    <cfRule type="cellIs" priority="181" stopIfTrue="1" operator="greaterThan">
      <formula>0</formula>
    </cfRule>
    <cfRule type="expression" priority="182" stopIfTrue="1">
      <formula>$AM$33=2</formula>
    </cfRule>
    <cfRule type="expression" dxfId="27" priority="183">
      <formula>ISBLANK(Y35)</formula>
    </cfRule>
  </conditionalFormatting>
  <conditionalFormatting sqref="Y42:AB42 AH42:AJ42">
    <cfRule type="expression" priority="171" stopIfTrue="1">
      <formula>$AM$38=2</formula>
    </cfRule>
    <cfRule type="cellIs" priority="172" stopIfTrue="1" operator="greaterThan">
      <formula>0</formula>
    </cfRule>
    <cfRule type="expression" dxfId="26" priority="173">
      <formula>ISBLANK(AA42)</formula>
    </cfRule>
  </conditionalFormatting>
  <conditionalFormatting sqref="Z75:Z76">
    <cfRule type="expression" dxfId="25" priority="7">
      <formula>ISBLANK(Z75)</formula>
    </cfRule>
  </conditionalFormatting>
  <conditionalFormatting sqref="Z76">
    <cfRule type="expression" priority="6" stopIfTrue="1">
      <formula>$AM$79=2</formula>
    </cfRule>
  </conditionalFormatting>
  <conditionalFormatting sqref="Z79">
    <cfRule type="expression" dxfId="24" priority="378">
      <formula>ISBLANK(Z79)</formula>
    </cfRule>
    <cfRule type="expression" priority="140" stopIfTrue="1">
      <formula>$AM$80=2</formula>
    </cfRule>
  </conditionalFormatting>
  <conditionalFormatting sqref="AB22:AD23 AG22:AI23 AB24 AG24 AB25:AD25 AG25:AI25">
    <cfRule type="expression" dxfId="23" priority="301">
      <formula>ISBLANK(AG22)</formula>
    </cfRule>
    <cfRule type="cellIs" priority="300" stopIfTrue="1" operator="greaterThan">
      <formula>0</formula>
    </cfRule>
  </conditionalFormatting>
  <conditionalFormatting sqref="AC56">
    <cfRule type="cellIs" dxfId="22" priority="1376" operator="lessThan">
      <formula>$J56</formula>
    </cfRule>
    <cfRule type="expression" dxfId="21" priority="1375">
      <formula>ISBLANK(AC56)</formula>
    </cfRule>
  </conditionalFormatting>
  <conditionalFormatting sqref="AC124">
    <cfRule type="expression" dxfId="20" priority="131">
      <formula>ISBLANK(AC124)</formula>
    </cfRule>
  </conditionalFormatting>
  <conditionalFormatting sqref="AD6">
    <cfRule type="cellIs" dxfId="19" priority="10" operator="equal">
      <formula>0</formula>
    </cfRule>
  </conditionalFormatting>
  <conditionalFormatting sqref="AD27">
    <cfRule type="expression" dxfId="18" priority="192">
      <formula>ISBLANK(AD27)</formula>
    </cfRule>
    <cfRule type="cellIs" priority="187" stopIfTrue="1" operator="greaterThan">
      <formula>0</formula>
    </cfRule>
    <cfRule type="expression" priority="191" stopIfTrue="1">
      <formula>$AM$28=2</formula>
    </cfRule>
  </conditionalFormatting>
  <conditionalFormatting sqref="AD33">
    <cfRule type="cellIs" priority="184" stopIfTrue="1" operator="greaterThan">
      <formula>0</formula>
    </cfRule>
    <cfRule type="expression" priority="185" stopIfTrue="1">
      <formula>$AM$35=2</formula>
    </cfRule>
    <cfRule type="expression" dxfId="17" priority="186">
      <formula>ISBLANK(AD33)</formula>
    </cfRule>
  </conditionalFormatting>
  <conditionalFormatting sqref="AD38">
    <cfRule type="cellIs" priority="178" stopIfTrue="1" operator="greaterThan">
      <formula>0</formula>
    </cfRule>
    <cfRule type="expression" priority="179" stopIfTrue="1">
      <formula>$AM$42=2</formula>
    </cfRule>
    <cfRule type="expression" dxfId="16" priority="180">
      <formula>ISBLANK(AD38)</formula>
    </cfRule>
  </conditionalFormatting>
  <conditionalFormatting sqref="AD63:AD64">
    <cfRule type="expression" dxfId="15" priority="458">
      <formula>ISBLANK(AD63)</formula>
    </cfRule>
  </conditionalFormatting>
  <conditionalFormatting sqref="AD63:AG63">
    <cfRule type="expression" dxfId="14" priority="1377">
      <formula>$AP$64=3</formula>
    </cfRule>
  </conditionalFormatting>
  <conditionalFormatting sqref="AD64:AG64">
    <cfRule type="expression" dxfId="13" priority="1378">
      <formula>$AP$65=3</formula>
    </cfRule>
  </conditionalFormatting>
  <conditionalFormatting sqref="AF7">
    <cfRule type="expression" dxfId="12" priority="134">
      <formula>ISBLANK(AF7)</formula>
    </cfRule>
  </conditionalFormatting>
  <conditionalFormatting sqref="AF10">
    <cfRule type="expression" dxfId="11" priority="9">
      <formula>ISBLANK(AF10)</formula>
    </cfRule>
  </conditionalFormatting>
  <conditionalFormatting sqref="AG14:AG15">
    <cfRule type="expression" dxfId="10" priority="274">
      <formula>ISBLANK(AG14)</formula>
    </cfRule>
  </conditionalFormatting>
  <conditionalFormatting sqref="AG15">
    <cfRule type="cellIs" priority="273" stopIfTrue="1" operator="greaterThan">
      <formula>0</formula>
    </cfRule>
  </conditionalFormatting>
  <conditionalFormatting sqref="AG17 AJ17">
    <cfRule type="expression" priority="193" stopIfTrue="1">
      <formula>$AM$17=2</formula>
    </cfRule>
    <cfRule type="expression" dxfId="9" priority="194">
      <formula>ISBLANK(AG17)</formula>
    </cfRule>
  </conditionalFormatting>
  <conditionalFormatting sqref="AG40 AJ40">
    <cfRule type="expression" priority="174" stopIfTrue="1">
      <formula>$AM$38=2</formula>
    </cfRule>
    <cfRule type="expression" priority="176" stopIfTrue="1">
      <formula>$AM$40=2</formula>
    </cfRule>
    <cfRule type="expression" dxfId="8" priority="177">
      <formula>ISBLANK(AG40)</formula>
    </cfRule>
    <cfRule type="cellIs" priority="175" stopIfTrue="1" operator="greaterThan">
      <formula>0</formula>
    </cfRule>
  </conditionalFormatting>
  <conditionalFormatting sqref="AG19:AK19">
    <cfRule type="expression" dxfId="7" priority="308">
      <formula>$AN$19=2</formula>
    </cfRule>
    <cfRule type="cellIs" priority="307" stopIfTrue="1" operator="greaterThan">
      <formula>0</formula>
    </cfRule>
  </conditionalFormatting>
  <conditionalFormatting sqref="AG59:AK60">
    <cfRule type="cellIs" dxfId="6" priority="353" operator="equal">
      <formula>0</formula>
    </cfRule>
  </conditionalFormatting>
  <conditionalFormatting sqref="AG77:AK77">
    <cfRule type="expression" dxfId="5" priority="376">
      <formula>ISBLANK(AG77)</formula>
    </cfRule>
  </conditionalFormatting>
  <conditionalFormatting sqref="AG111:AK112">
    <cfRule type="cellIs" dxfId="4" priority="341" operator="equal">
      <formula>0</formula>
    </cfRule>
  </conditionalFormatting>
  <conditionalFormatting sqref="AH75">
    <cfRule type="expression" dxfId="3" priority="377">
      <formula>ISBLANK(AH75)</formula>
    </cfRule>
  </conditionalFormatting>
  <conditionalFormatting sqref="AH49:AJ50 Y50:AA50">
    <cfRule type="cellIs" priority="153" stopIfTrue="1" operator="greaterThan">
      <formula>0</formula>
    </cfRule>
    <cfRule type="expression" dxfId="2" priority="154">
      <formula>ISBLANK(Y49)</formula>
    </cfRule>
  </conditionalFormatting>
  <conditionalFormatting sqref="AH53:AJ53">
    <cfRule type="cellIs" dxfId="1" priority="143" operator="greaterThan">
      <formula>96</formula>
    </cfRule>
  </conditionalFormatting>
  <conditionalFormatting sqref="AH53:AJ54 Y48 AH48 AC53:AE54">
    <cfRule type="cellIs" priority="158" stopIfTrue="1" operator="greaterThan">
      <formula>0</formula>
    </cfRule>
  </conditionalFormatting>
  <conditionalFormatting sqref="AH54:AJ54">
    <cfRule type="cellIs" dxfId="0" priority="142" operator="greaterThan">
      <formula>12</formula>
    </cfRule>
  </conditionalFormatting>
  <dataValidations count="1">
    <dataValidation type="list" allowBlank="1" showInputMessage="1" showErrorMessage="1" sqref="AH42:AJ42 AH48:AJ48" xr:uid="{1AEC29CC-A9D5-46A4-B7A5-7CB501C8C7CA}">
      <formula1>Shape</formula1>
    </dataValidation>
  </dataValidations>
  <pageMargins left="0.2" right="0.2" top="0.5" bottom="0.25" header="0.3" footer="0.3"/>
  <pageSetup orientation="portrait" r:id="rId1"/>
  <rowBreaks count="2" manualBreakCount="2">
    <brk id="58" max="16383" man="1"/>
    <brk id="110" max="16383" man="1"/>
  </rowBreaks>
  <colBreaks count="1" manualBreakCount="1">
    <brk id="42" max="1048575" man="1"/>
  </colBreaks>
  <drawing r:id="rId2"/>
  <legacyDrawing r:id="rId3"/>
  <legacyDrawingHF r:id="rId4"/>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License Tab, accept the conditions to use this form._x000a__x000a_                     OR_x000a__x000a_This form has expired.  Please obtain the latest version of this form." xr:uid="{2C2E1FF6-E603-4B4F-A3B4-40E382C6E48D}">
          <x14:formula1>
            <xm:f>Tables!$B$8</xm:f>
          </x14:formula1>
          <xm:sqref>AF7:AK7 G10 N10 X10 AD6 AG14:AI15 AG17 AJ17 Y19 AB19 AG19:AK19 Z76 AC25:AD25 AD27 AB30:AD31 AG30:AI31 AD33 AG35:AI36 AD38 AG40 AJ40 Y43:AA45 AH44:AJ45 Y49:AA50 AH49:AJ50 AC53:AE54 AH53:AJ54 AC124:AG124 AD63:AG64 AC56:AE56 F73:V77 Z75:AC75 AG77:AK77 AH75:AK75 Z79 AH82:AK82 AG84:AK84 Z82:AC82 F80:V84 C89 C91 C93 C97 C99 C101 C103 C105 C107 E107 E105 E103 E101 E99 E97 E93 E91 E89 Y91:Z91 Y93:Z93 Y97:Z97 Y99:Z99 Y101:Z101 Y103:Z103 Y105:Z105 Y107:Z107 AC107:AI107 AC105:AI105 AC103:AI103 AC101:AI101 AC99:AI99 AC97:AI97 AC93:AI93 AC91:AI91 E117:Y121 E122:I122 Z83 AB22:AB25 AC22:AD23 AG22:AG25 AH22:AI23 AH25:AI25 C95 E95 Y95:Z95 AC95:AI95 B66:AK70 AF10</xm:sqref>
        </x14:dataValidation>
        <x14:dataValidation type="list" allowBlank="1" showInputMessage="1" showErrorMessage="1" xr:uid="{51C0DC14-5C5B-497E-ADE8-E14CEC9C6FC0}">
          <x14:formula1>
            <xm:f>Tables!$D$2:$D$10</xm:f>
          </x14:formula1>
          <xm:sqref>Y35 Y48 Y42 Y28</xm:sqref>
        </x14:dataValidation>
        <x14:dataValidation type="list" allowBlank="1" showInputMessage="1" showErrorMessage="1" xr:uid="{15328467-34E1-4429-BBED-E9EF3D4805F6}">
          <x14:formula1>
            <xm:f>Tables!$F$6:$F$8</xm:f>
          </x14:formula1>
          <xm:sqref>H59:H60 W59:Y60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2D - Design</vt:lpstr>
      <vt:lpstr>Form 3D - As-built</vt:lpstr>
      <vt:lpstr>Material</vt:lpstr>
      <vt:lpstr>'Form 2D - Design'!Print_Area</vt:lpstr>
      <vt:lpstr>'Form 3D - As-built'!Print_Area</vt:lpstr>
      <vt:lpstr>'Form 2D - Design'!Print_Titles</vt:lpstr>
      <vt:lpstr>'Form 3D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2026-09-05T00:24:47Z</cp:lastPrinted>
  <dcterms:created xsi:type="dcterms:W3CDTF">2021-11-21T16:55:43Z</dcterms:created>
  <dcterms:modified xsi:type="dcterms:W3CDTF">2026-09-06T15:35:08Z</dcterms:modified>
</cp:coreProperties>
</file>