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HYDRO\PROJECTS\Prattville\2026\B - Post Const\Forms\2026-09-01 Published\"/>
    </mc:Choice>
  </mc:AlternateContent>
  <xr:revisionPtr revIDLastSave="0" documentId="13_ncr:1_{7203BAAA-54D8-440C-B5C3-72567E4AC587}" xr6:coauthVersionLast="47" xr6:coauthVersionMax="47" xr10:uidLastSave="{00000000-0000-0000-0000-000000000000}"/>
  <workbookProtection workbookAlgorithmName="SHA-512" workbookHashValue="gvebH6hzbRfyr0sjiEOEiEB7dFeF7u4bda/8i/ve2ZEo7Kevo++1YsAyAKOAVq58tpIeGka5zHCd/y39jnU4mQ==" workbookSaltValue="OqmwjnoULmTTj5NV8r1OBA==" workbookSpinCount="100000" lockStructure="1"/>
  <bookViews>
    <workbookView xWindow="-14685" yWindow="-16320" windowWidth="29040" windowHeight="15720" tabRatio="647" firstSheet="1" activeTab="1" xr2:uid="{994EC860-6224-46C4-B304-9868EEFCD4CE}"/>
  </bookViews>
  <sheets>
    <sheet name="Tables" sheetId="2" state="veryHidden" r:id="rId1"/>
    <sheet name="License" sheetId="4" r:id="rId2"/>
    <sheet name="General Instructions" sheetId="11" r:id="rId3"/>
    <sheet name="Form 2C.1 - Design" sheetId="5" r:id="rId4"/>
    <sheet name="Form 3C - As-built" sheetId="6" r:id="rId5"/>
  </sheets>
  <definedNames>
    <definedName name="Logo">INDEX(Tables!$F$40:$F$46,MATCH(Tables!$F$14,Tables!$E$40:$E$46,0))</definedName>
    <definedName name="Material">Tables!$D$2:$D$10</definedName>
    <definedName name="_xlnm.Print_Area" localSheetId="3">'Form 2C.1 - Design'!$A$1:$AK$256</definedName>
    <definedName name="_xlnm.Print_Area" localSheetId="4">'Form 3C - As-built'!$A$1:$AL$250</definedName>
    <definedName name="_xlnm.Print_Titles" localSheetId="3">'Form 2C.1 - Design'!$1:$4</definedName>
    <definedName name="_xlnm.Print_Titles" localSheetId="4">'Form 3C - As-built'!$1:$4</definedName>
    <definedName name="Shape">Tables!$F$2:$F$10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M199" i="6" l="1"/>
  <c r="AM197" i="6"/>
  <c r="AM195" i="6"/>
  <c r="AM193" i="6"/>
  <c r="AM191" i="6"/>
  <c r="AM189" i="6"/>
  <c r="AM187" i="6"/>
  <c r="AM203" i="6"/>
  <c r="AM201" i="6"/>
  <c r="AM185" i="6"/>
  <c r="AM183" i="6"/>
  <c r="P62" i="6"/>
  <c r="AM181" i="6" l="1"/>
  <c r="AL164" i="5"/>
  <c r="AN141" i="5"/>
  <c r="AM119" i="5"/>
  <c r="AO199" i="6" l="1"/>
  <c r="AO197" i="6"/>
  <c r="AO195" i="6"/>
  <c r="AO193" i="6"/>
  <c r="AO191" i="6"/>
  <c r="AO189" i="6"/>
  <c r="AO187" i="6"/>
  <c r="AR137" i="5" l="1"/>
  <c r="AS137" i="5" s="1"/>
  <c r="AQ139" i="5" s="1"/>
  <c r="AQ137" i="5"/>
  <c r="S137" i="5" s="1"/>
  <c r="Q89" i="6"/>
  <c r="M89" i="6"/>
  <c r="I89" i="6"/>
  <c r="E89" i="6"/>
  <c r="B89" i="6"/>
  <c r="AM89" i="6"/>
  <c r="AD89" i="6"/>
  <c r="L89" i="6"/>
  <c r="AM135" i="5"/>
  <c r="AL135" i="5"/>
  <c r="B55" i="5"/>
  <c r="AL53" i="5"/>
  <c r="AO148" i="6"/>
  <c r="P22" i="2"/>
  <c r="P19" i="2"/>
  <c r="AL168" i="5"/>
  <c r="AD6" i="6"/>
  <c r="AM208" i="5"/>
  <c r="I209" i="5" s="1"/>
  <c r="AL208" i="5"/>
  <c r="AN83" i="6"/>
  <c r="L240" i="5" l="1"/>
  <c r="AL240" i="5" s="1"/>
  <c r="J22" i="2"/>
  <c r="AL198" i="5"/>
  <c r="AM196" i="5"/>
  <c r="AL196" i="5"/>
  <c r="AM194" i="5"/>
  <c r="AL194" i="5"/>
  <c r="F38" i="2" l="1"/>
  <c r="B6" i="11"/>
  <c r="B34" i="11" s="1"/>
  <c r="B35" i="11" s="1"/>
  <c r="O1" i="4"/>
  <c r="F37" i="2"/>
  <c r="F33" i="2"/>
  <c r="AP184" i="5" s="1"/>
  <c r="F32" i="2"/>
  <c r="AO184" i="5" s="1"/>
  <c r="F30" i="2"/>
  <c r="F29" i="2"/>
  <c r="F28" i="2"/>
  <c r="F27" i="2"/>
  <c r="F26" i="2"/>
  <c r="J18" i="2" s="1"/>
  <c r="F25" i="2"/>
  <c r="F24" i="2"/>
  <c r="F23" i="2"/>
  <c r="F22" i="2"/>
  <c r="F21" i="2"/>
  <c r="F20" i="2"/>
  <c r="F19" i="2"/>
  <c r="F18" i="2"/>
  <c r="F17" i="2"/>
  <c r="F16" i="2"/>
  <c r="F15" i="2"/>
  <c r="M22" i="2"/>
  <c r="M19" i="2"/>
  <c r="B7" i="2"/>
  <c r="B2" i="2"/>
  <c r="B6" i="2" s="1"/>
  <c r="O2" i="4" s="1"/>
  <c r="A2" i="4"/>
  <c r="AT184" i="5"/>
  <c r="AM192" i="5"/>
  <c r="AL192" i="5"/>
  <c r="AM190" i="5"/>
  <c r="AL190" i="5"/>
  <c r="AM188" i="5"/>
  <c r="AL188" i="5"/>
  <c r="AM186" i="5"/>
  <c r="AL186" i="5"/>
  <c r="Q95" i="6"/>
  <c r="N95" i="6"/>
  <c r="E95" i="6"/>
  <c r="L93" i="6"/>
  <c r="E93" i="6"/>
  <c r="H92" i="6"/>
  <c r="AO95" i="6"/>
  <c r="AN95" i="6"/>
  <c r="AM95" i="6"/>
  <c r="AN93" i="6"/>
  <c r="AM93" i="6"/>
  <c r="AM92" i="6"/>
  <c r="AP139" i="5"/>
  <c r="AO139" i="5"/>
  <c r="AN139" i="5"/>
  <c r="AM139" i="5"/>
  <c r="AL139" i="5"/>
  <c r="AP137" i="5"/>
  <c r="AO137" i="5"/>
  <c r="L239" i="5" s="1"/>
  <c r="AL239" i="5" s="1"/>
  <c r="AL137" i="5"/>
  <c r="S22" i="2"/>
  <c r="R22" i="2"/>
  <c r="Q22" i="2"/>
  <c r="O22" i="2"/>
  <c r="N22" i="2"/>
  <c r="S19" i="2"/>
  <c r="R19" i="2"/>
  <c r="Q19" i="2"/>
  <c r="O19" i="2"/>
  <c r="N19" i="2"/>
  <c r="AX20" i="5" l="1"/>
  <c r="AX23" i="5"/>
  <c r="F22" i="4"/>
  <c r="AW46" i="6"/>
  <c r="F34" i="2"/>
  <c r="AS184" i="5" s="1"/>
  <c r="AS179" i="5" s="1"/>
  <c r="AX21" i="5" s="1"/>
  <c r="F31" i="2"/>
  <c r="AS182" i="5" s="1"/>
  <c r="AR179" i="5"/>
  <c r="AX22" i="5" s="1"/>
  <c r="AD10" i="5"/>
  <c r="AX19" i="5"/>
  <c r="I200" i="5"/>
  <c r="F32" i="4"/>
  <c r="F7" i="4"/>
  <c r="F29" i="4"/>
  <c r="F13" i="4"/>
  <c r="U198" i="5"/>
  <c r="U196" i="5"/>
  <c r="O194" i="5"/>
  <c r="B8" i="2"/>
  <c r="AM137" i="5"/>
  <c r="Y138" i="6"/>
  <c r="Y139" i="6"/>
  <c r="Y140" i="6"/>
  <c r="Y141" i="6"/>
  <c r="Y142" i="6"/>
  <c r="Y137" i="6"/>
  <c r="AP200" i="5"/>
  <c r="AO200" i="5"/>
  <c r="AN200" i="5"/>
  <c r="AR140" i="6" s="1"/>
  <c r="AM200" i="5"/>
  <c r="AL200" i="5"/>
  <c r="AN66" i="5"/>
  <c r="L236" i="5"/>
  <c r="AL236" i="5" s="1"/>
  <c r="AT145" i="6"/>
  <c r="AT147" i="6"/>
  <c r="AT148" i="6"/>
  <c r="AT149" i="6"/>
  <c r="AT144" i="6"/>
  <c r="AJ180" i="5" l="1"/>
  <c r="F3" i="4"/>
  <c r="AQ200" i="5"/>
  <c r="AS112" i="6"/>
  <c r="AS111" i="6"/>
  <c r="L230" i="6" l="1"/>
  <c r="AM230" i="6" s="1"/>
  <c r="AR148" i="5"/>
  <c r="AR146" i="5"/>
  <c r="L244" i="5" l="1"/>
  <c r="AL244" i="5" s="1"/>
  <c r="J23" i="5" l="1"/>
  <c r="AL19" i="5" s="1"/>
  <c r="AM17" i="5"/>
  <c r="AM16" i="5"/>
  <c r="AL16" i="5"/>
  <c r="AM18" i="5" l="1"/>
  <c r="W19" i="5"/>
  <c r="AN144" i="6"/>
  <c r="N23" i="5" l="1"/>
  <c r="I41" i="5"/>
  <c r="I28" i="5"/>
  <c r="AP17" i="5"/>
  <c r="N20" i="5"/>
  <c r="N18" i="5"/>
  <c r="N22" i="5"/>
  <c r="AE17" i="5"/>
  <c r="AP16" i="5"/>
  <c r="N19" i="5"/>
  <c r="N21" i="5"/>
  <c r="AE16" i="5"/>
  <c r="AA19" i="5"/>
  <c r="AO179" i="5"/>
  <c r="AO178" i="5"/>
  <c r="AO177" i="5"/>
  <c r="AO176" i="5"/>
  <c r="AO175" i="5"/>
  <c r="AO174" i="5"/>
  <c r="AQ184" i="5" s="1"/>
  <c r="K2" i="2"/>
  <c r="K3" i="2" s="1"/>
  <c r="K4" i="2" s="1"/>
  <c r="K5" i="2" s="1"/>
  <c r="K6" i="2" s="1"/>
  <c r="K7" i="2" s="1"/>
  <c r="K8" i="2" s="1"/>
  <c r="K9" i="2" s="1"/>
  <c r="K10" i="2" s="1"/>
  <c r="K11" i="2" s="1"/>
  <c r="K12" i="2" s="1"/>
  <c r="K13" i="2" s="1"/>
  <c r="K14" i="2" s="1"/>
  <c r="K15" i="2" s="1"/>
  <c r="K16" i="2" s="1"/>
  <c r="K17" i="2" s="1"/>
  <c r="K18" i="2" s="1"/>
  <c r="K19" i="2" s="1"/>
  <c r="K20" i="2" s="1"/>
  <c r="K21" i="2" s="1"/>
  <c r="K22" i="2" s="1"/>
  <c r="K23" i="2" s="1"/>
  <c r="F35" i="2" l="1"/>
  <c r="F36" i="2" s="1"/>
  <c r="AP182" i="5"/>
  <c r="AP18" i="5"/>
  <c r="AQ139" i="6"/>
  <c r="AQ203" i="6"/>
  <c r="AQ201" i="6"/>
  <c r="AQ199" i="6"/>
  <c r="AQ197" i="6"/>
  <c r="AQ195" i="6"/>
  <c r="AQ193" i="6"/>
  <c r="AQ191" i="6"/>
  <c r="AQ189" i="6"/>
  <c r="AQ187" i="6"/>
  <c r="AQ185" i="6"/>
  <c r="AQ183" i="6"/>
  <c r="J15" i="2" l="1"/>
  <c r="J16" i="2"/>
  <c r="AQ182" i="5"/>
  <c r="AE19" i="5"/>
  <c r="W22" i="5"/>
  <c r="AO182" i="5"/>
  <c r="AQ181" i="6"/>
  <c r="AQ138" i="6" l="1"/>
  <c r="AP141" i="6"/>
  <c r="B29" i="6"/>
  <c r="B17" i="6"/>
  <c r="O27" i="6"/>
  <c r="P26" i="6"/>
  <c r="F27" i="6"/>
  <c r="J26" i="6"/>
  <c r="AM26" i="6"/>
  <c r="AM71" i="5" l="1"/>
  <c r="AL71" i="5"/>
  <c r="AL73" i="5"/>
  <c r="AM73" i="5"/>
  <c r="AM70" i="5"/>
  <c r="AF225" i="6"/>
  <c r="AM202" i="5" l="1"/>
  <c r="AH141" i="6" l="1"/>
  <c r="K99" i="6" l="1"/>
  <c r="G99" i="6"/>
  <c r="J65" i="6"/>
  <c r="P69" i="6"/>
  <c r="P68" i="6"/>
  <c r="F69" i="6"/>
  <c r="F66" i="6"/>
  <c r="P63" i="6"/>
  <c r="K63" i="6"/>
  <c r="K62" i="6"/>
  <c r="F63" i="6"/>
  <c r="F62" i="6"/>
  <c r="B63" i="6"/>
  <c r="B62" i="6"/>
  <c r="F61" i="6"/>
  <c r="K61" i="6"/>
  <c r="P61" i="6"/>
  <c r="B61" i="6"/>
  <c r="O66" i="6"/>
  <c r="P65" i="6"/>
  <c r="AN59" i="6"/>
  <c r="AN62" i="6" s="1"/>
  <c r="AM116" i="5"/>
  <c r="AL116" i="5"/>
  <c r="AM114" i="5"/>
  <c r="AL114" i="5"/>
  <c r="AM107" i="5"/>
  <c r="AL107" i="5"/>
  <c r="AN105" i="5"/>
  <c r="AM105" i="5"/>
  <c r="AM103" i="5"/>
  <c r="AL103" i="5"/>
  <c r="AN101" i="5"/>
  <c r="AM101" i="5"/>
  <c r="AM99" i="5"/>
  <c r="AL99" i="5"/>
  <c r="AN97" i="5"/>
  <c r="AM97" i="5"/>
  <c r="AV10" i="5"/>
  <c r="AV14" i="5" s="1"/>
  <c r="AV16" i="5" s="1"/>
  <c r="AV18" i="5" l="1"/>
  <c r="AV27" i="5" s="1"/>
  <c r="AV30" i="5" s="1"/>
  <c r="AV32" i="5" s="1"/>
  <c r="AV34" i="5" s="1"/>
  <c r="AV41" i="5" s="1"/>
  <c r="AV42" i="5" s="1"/>
  <c r="AV43" i="5" s="1"/>
  <c r="AV44" i="5" s="1"/>
  <c r="AV45" i="5" s="1"/>
  <c r="AN61" i="6"/>
  <c r="AN63" i="6"/>
  <c r="AM184" i="5" l="1"/>
  <c r="AL184" i="5"/>
  <c r="AP199" i="6"/>
  <c r="AN199" i="6"/>
  <c r="AP197" i="6"/>
  <c r="AN197" i="6"/>
  <c r="AP195" i="6"/>
  <c r="AN195" i="6"/>
  <c r="AL44" i="5"/>
  <c r="AL31" i="5"/>
  <c r="AN184" i="5" l="1"/>
  <c r="AP139" i="6"/>
  <c r="AO149" i="6"/>
  <c r="AL169" i="5"/>
  <c r="AL161" i="5"/>
  <c r="AM206" i="5"/>
  <c r="AL206" i="5"/>
  <c r="AM204" i="5"/>
  <c r="AL204" i="5"/>
  <c r="AL202" i="5"/>
  <c r="AM182" i="5"/>
  <c r="AP138" i="6" s="1"/>
  <c r="AL182" i="5"/>
  <c r="AL25" i="5"/>
  <c r="AQ164" i="5"/>
  <c r="AP165" i="5" l="1"/>
  <c r="AP166" i="5"/>
  <c r="AP164" i="5"/>
  <c r="AP169" i="5"/>
  <c r="AP168" i="5"/>
  <c r="AP167" i="5"/>
  <c r="AR139" i="6"/>
  <c r="AN182" i="5"/>
  <c r="AN206" i="5"/>
  <c r="AS144" i="6"/>
  <c r="AN164" i="5"/>
  <c r="G142" i="6"/>
  <c r="G141" i="6"/>
  <c r="G140" i="6"/>
  <c r="G139" i="6"/>
  <c r="G138" i="6"/>
  <c r="G137" i="6"/>
  <c r="G149" i="6"/>
  <c r="G148" i="6"/>
  <c r="G147" i="6"/>
  <c r="G146" i="6"/>
  <c r="G145" i="6"/>
  <c r="G144" i="6"/>
  <c r="G169" i="5"/>
  <c r="G168" i="5"/>
  <c r="G167" i="5"/>
  <c r="G166" i="5"/>
  <c r="G165" i="5"/>
  <c r="G164" i="5"/>
  <c r="J49" i="5"/>
  <c r="J48" i="5"/>
  <c r="J47" i="5"/>
  <c r="J46" i="5"/>
  <c r="J45" i="5"/>
  <c r="J44" i="5"/>
  <c r="J36" i="5"/>
  <c r="J35" i="5"/>
  <c r="J34" i="5"/>
  <c r="J33" i="5"/>
  <c r="J32" i="5"/>
  <c r="J31" i="5"/>
  <c r="W23" i="5"/>
  <c r="C144" i="6"/>
  <c r="C138" i="6"/>
  <c r="C146" i="6"/>
  <c r="C147" i="6"/>
  <c r="C141" i="6"/>
  <c r="C149" i="6"/>
  <c r="AW15" i="5"/>
  <c r="AW17" i="5"/>
  <c r="AO141" i="6" l="1"/>
  <c r="AR147" i="6"/>
  <c r="AR144" i="6"/>
  <c r="AR149" i="6"/>
  <c r="AR148" i="6"/>
  <c r="AR146" i="6"/>
  <c r="AR145" i="6"/>
  <c r="AO167" i="5"/>
  <c r="AO164" i="5"/>
  <c r="AO169" i="5"/>
  <c r="AO168" i="5"/>
  <c r="AO166" i="5"/>
  <c r="AO165" i="5"/>
  <c r="AP163" i="5"/>
  <c r="L253" i="5" s="1"/>
  <c r="J6" i="2"/>
  <c r="AR138" i="6"/>
  <c r="AP140" i="6"/>
  <c r="F31" i="5"/>
  <c r="F33" i="5"/>
  <c r="C140" i="6"/>
  <c r="F46" i="5"/>
  <c r="F47" i="5"/>
  <c r="F48" i="5"/>
  <c r="F34" i="5"/>
  <c r="F49" i="5"/>
  <c r="F35" i="5"/>
  <c r="C168" i="5"/>
  <c r="C137" i="6"/>
  <c r="C139" i="6"/>
  <c r="C148" i="6"/>
  <c r="F44" i="5"/>
  <c r="C142" i="6"/>
  <c r="F32" i="5"/>
  <c r="C164" i="5"/>
  <c r="C165" i="5"/>
  <c r="C145" i="6"/>
  <c r="C166" i="5"/>
  <c r="C167" i="5"/>
  <c r="C169" i="5"/>
  <c r="F45" i="5"/>
  <c r="AQ169" i="5"/>
  <c r="AL246" i="5"/>
  <c r="AP203" i="6"/>
  <c r="AN203" i="6"/>
  <c r="AP183" i="6"/>
  <c r="AN183" i="6"/>
  <c r="B250" i="6"/>
  <c r="AN141" i="6" l="1"/>
  <c r="AQ145" i="6"/>
  <c r="AQ146" i="6"/>
  <c r="AQ147" i="6"/>
  <c r="AQ148" i="6"/>
  <c r="AQ149" i="6"/>
  <c r="AQ144" i="6"/>
  <c r="AR143" i="6"/>
  <c r="L240" i="6" s="1"/>
  <c r="AO163" i="5"/>
  <c r="L252" i="5" s="1"/>
  <c r="AF8" i="6"/>
  <c r="AM31" i="6"/>
  <c r="AE51" i="6"/>
  <c r="L50" i="6"/>
  <c r="G31" i="6"/>
  <c r="AL253" i="5" l="1"/>
  <c r="AL252" i="5"/>
  <c r="AQ143" i="6"/>
  <c r="L239" i="6" s="1"/>
  <c r="W94" i="5"/>
  <c r="C31" i="6"/>
  <c r="AM239" i="6" l="1"/>
  <c r="AM240" i="6"/>
  <c r="AP201" i="6" l="1"/>
  <c r="AN201" i="6"/>
  <c r="AP193" i="6"/>
  <c r="AN193" i="6"/>
  <c r="AP191" i="6"/>
  <c r="AN191" i="6"/>
  <c r="AP189" i="6"/>
  <c r="AN189" i="6"/>
  <c r="AP187" i="6"/>
  <c r="AN187" i="6"/>
  <c r="AP185" i="6"/>
  <c r="AN185" i="6"/>
  <c r="B256" i="5"/>
  <c r="L241" i="6" l="1"/>
  <c r="AM241" i="6" s="1"/>
  <c r="AM157" i="5" l="1"/>
  <c r="AN157" i="5"/>
  <c r="AL128" i="5" l="1"/>
  <c r="AL129" i="5"/>
  <c r="AL130" i="5"/>
  <c r="AL131" i="5"/>
  <c r="AL132" i="5"/>
  <c r="AL133" i="5"/>
  <c r="AS145" i="6" l="1"/>
  <c r="AS146" i="6" l="1"/>
  <c r="AS147" i="6"/>
  <c r="AS148" i="6"/>
  <c r="AS149" i="6"/>
  <c r="AO145" i="6"/>
  <c r="AO146" i="6"/>
  <c r="AO147" i="6"/>
  <c r="AO144" i="6"/>
  <c r="AQ101" i="6"/>
  <c r="AN101" i="6"/>
  <c r="AQ166" i="5"/>
  <c r="AQ167" i="5"/>
  <c r="AQ168" i="5"/>
  <c r="AQ165" i="5"/>
  <c r="AN165" i="5"/>
  <c r="AN166" i="5"/>
  <c r="AN167" i="5"/>
  <c r="AN168" i="5"/>
  <c r="AN169" i="5"/>
  <c r="AL165" i="5"/>
  <c r="AL166" i="5"/>
  <c r="AL167" i="5"/>
  <c r="AO146" i="5"/>
  <c r="AO144" i="5"/>
  <c r="AL49" i="5"/>
  <c r="AL48" i="5"/>
  <c r="AL47" i="5"/>
  <c r="AL46" i="5"/>
  <c r="AL45" i="5"/>
  <c r="AL36" i="5"/>
  <c r="AL35" i="5"/>
  <c r="AL34" i="5"/>
  <c r="AL33" i="5"/>
  <c r="AL32" i="5"/>
  <c r="AD88" i="6"/>
  <c r="AD87" i="6"/>
  <c r="AD86" i="6"/>
  <c r="AD85" i="6"/>
  <c r="AD84" i="6"/>
  <c r="AD81" i="6"/>
  <c r="N127" i="5"/>
  <c r="L81" i="6" s="1"/>
  <c r="N129" i="5"/>
  <c r="L85" i="6" s="1"/>
  <c r="N130" i="5"/>
  <c r="L86" i="6" s="1"/>
  <c r="N131" i="5"/>
  <c r="L87" i="6" s="1"/>
  <c r="N132" i="5"/>
  <c r="L88" i="6" s="1"/>
  <c r="N133" i="5"/>
  <c r="N128" i="5"/>
  <c r="L84" i="6" s="1"/>
  <c r="AQ135" i="6"/>
  <c r="AO143" i="6" l="1"/>
  <c r="AL163" i="5"/>
  <c r="AP149" i="6"/>
  <c r="AP143" i="6" s="1"/>
  <c r="AT146" i="6"/>
  <c r="AT143" i="6" s="1"/>
  <c r="L236" i="6" s="1"/>
  <c r="AM236" i="6" s="1"/>
  <c r="AQ163" i="5"/>
  <c r="L251" i="5" s="1"/>
  <c r="AL251" i="5" s="1"/>
  <c r="J12" i="2"/>
  <c r="AM172" i="5"/>
  <c r="AS143" i="6"/>
  <c r="L238" i="6" s="1"/>
  <c r="AL43" i="5"/>
  <c r="AL30" i="5"/>
  <c r="AM6" i="6"/>
  <c r="AR165" i="5" l="1"/>
  <c r="AR166" i="5"/>
  <c r="AR167" i="5"/>
  <c r="AR168" i="5"/>
  <c r="AR169" i="5"/>
  <c r="AR164" i="5"/>
  <c r="AM169" i="5"/>
  <c r="AM163" i="5" s="1"/>
  <c r="AQ103" i="6"/>
  <c r="AN103" i="6"/>
  <c r="AQ102" i="6"/>
  <c r="AR163" i="5" l="1"/>
  <c r="L248" i="5" s="1"/>
  <c r="AM232" i="6"/>
  <c r="AO150" i="5"/>
  <c r="AN150" i="5"/>
  <c r="AE214" i="5" l="1"/>
  <c r="AE213" i="5"/>
  <c r="D213" i="5"/>
  <c r="AG207" i="6"/>
  <c r="G15" i="2" l="1"/>
  <c r="AN152" i="6"/>
  <c r="L228" i="6" s="1"/>
  <c r="AM228" i="6" s="1"/>
  <c r="B206" i="6"/>
  <c r="B153" i="6"/>
  <c r="B106" i="6"/>
  <c r="B56" i="6"/>
  <c r="AQ99" i="6"/>
  <c r="AS99" i="6"/>
  <c r="AP99" i="6"/>
  <c r="AM60" i="5"/>
  <c r="B212" i="5"/>
  <c r="B159" i="5"/>
  <c r="B109" i="5"/>
  <c r="W21" i="5" l="1"/>
  <c r="AA22" i="5"/>
  <c r="AN127" i="5"/>
  <c r="L235" i="6"/>
  <c r="L242" i="5"/>
  <c r="AL242" i="5" s="1"/>
  <c r="L247" i="5"/>
  <c r="AL247" i="5" s="1"/>
  <c r="AY35" i="6"/>
  <c r="AB10" i="6"/>
  <c r="D217" i="5"/>
  <c r="AM75" i="6"/>
  <c r="AM74" i="6"/>
  <c r="AM69" i="6"/>
  <c r="AM68" i="6"/>
  <c r="AM65" i="6"/>
  <c r="I48" i="6"/>
  <c r="AN37" i="6"/>
  <c r="AN35" i="6"/>
  <c r="AM37" i="6"/>
  <c r="AM35" i="6"/>
  <c r="AM33" i="6"/>
  <c r="AN23" i="6"/>
  <c r="AM23" i="6"/>
  <c r="AM21" i="6"/>
  <c r="AM20" i="6"/>
  <c r="AN17" i="6"/>
  <c r="AM29" i="6"/>
  <c r="AM17" i="6"/>
  <c r="J68" i="6"/>
  <c r="N49" i="6"/>
  <c r="N48" i="6"/>
  <c r="N47" i="6"/>
  <c r="N46" i="6"/>
  <c r="I49" i="6"/>
  <c r="I47" i="6"/>
  <c r="I46" i="6"/>
  <c r="N41" i="6"/>
  <c r="N42" i="6"/>
  <c r="N43" i="6"/>
  <c r="N44" i="6"/>
  <c r="N40" i="6"/>
  <c r="I41" i="6"/>
  <c r="I42" i="6"/>
  <c r="I43" i="6"/>
  <c r="I44" i="6"/>
  <c r="I40" i="6"/>
  <c r="N37" i="6"/>
  <c r="N35" i="6"/>
  <c r="I37" i="6"/>
  <c r="F37" i="6"/>
  <c r="I35" i="6"/>
  <c r="F35" i="6"/>
  <c r="G33" i="6"/>
  <c r="N31" i="6"/>
  <c r="C33" i="6"/>
  <c r="O29" i="6"/>
  <c r="K29" i="6"/>
  <c r="P23" i="6"/>
  <c r="P24" i="6"/>
  <c r="F24" i="6"/>
  <c r="J23" i="6"/>
  <c r="N21" i="6"/>
  <c r="N19" i="6"/>
  <c r="N18" i="6"/>
  <c r="G21" i="6"/>
  <c r="G20" i="6"/>
  <c r="G19" i="6"/>
  <c r="G18" i="6"/>
  <c r="N17" i="6"/>
  <c r="AP143" i="5"/>
  <c r="AO143" i="5"/>
  <c r="AL121" i="5" l="1"/>
  <c r="AL120" i="5"/>
  <c r="L51" i="6"/>
  <c r="AM81" i="5"/>
  <c r="AM79" i="5"/>
  <c r="AL81" i="5"/>
  <c r="AL79" i="5"/>
  <c r="AN75" i="5"/>
  <c r="AM67" i="5"/>
  <c r="AL67" i="5"/>
  <c r="AL70" i="5"/>
  <c r="AM69" i="5"/>
  <c r="AL69" i="5"/>
  <c r="AL66" i="5"/>
  <c r="AM62" i="5"/>
  <c r="AL62" i="5"/>
  <c r="AL60" i="5"/>
  <c r="AE111" i="5" l="1"/>
  <c r="AE110" i="5"/>
  <c r="D110" i="5"/>
  <c r="E74" i="6" l="1"/>
  <c r="P26" i="5"/>
  <c r="L26" i="5"/>
  <c r="BK1" i="6" l="1"/>
  <c r="AG154" i="6" l="1"/>
  <c r="AG107" i="6"/>
  <c r="AH142" i="6" l="1"/>
  <c r="AH140" i="6"/>
  <c r="AH139" i="6"/>
  <c r="AH138" i="6"/>
  <c r="AH137" i="6"/>
  <c r="AD142" i="6"/>
  <c r="AG57" i="6"/>
  <c r="U142" i="6"/>
  <c r="U141" i="6"/>
  <c r="U140" i="6"/>
  <c r="U139" i="6"/>
  <c r="U138" i="6"/>
  <c r="U137" i="6"/>
  <c r="Q142" i="6"/>
  <c r="Q141" i="6"/>
  <c r="Q140" i="6"/>
  <c r="Q139" i="6"/>
  <c r="Q138" i="6"/>
  <c r="Q137" i="6"/>
  <c r="M142" i="6"/>
  <c r="AN149" i="6" s="1"/>
  <c r="M141" i="6"/>
  <c r="AN148" i="6" s="1"/>
  <c r="M140" i="6"/>
  <c r="AN147" i="6" s="1"/>
  <c r="M139" i="6"/>
  <c r="AN146" i="6" s="1"/>
  <c r="M138" i="6"/>
  <c r="AN145" i="6" s="1"/>
  <c r="M137" i="6"/>
  <c r="M128" i="6"/>
  <c r="M129" i="6"/>
  <c r="M130" i="6"/>
  <c r="M131" i="6"/>
  <c r="M132" i="6"/>
  <c r="M133" i="6"/>
  <c r="G128" i="6"/>
  <c r="G129" i="6"/>
  <c r="G130" i="6"/>
  <c r="G131" i="6"/>
  <c r="G132" i="6"/>
  <c r="G133" i="6"/>
  <c r="B128" i="6"/>
  <c r="B129" i="6"/>
  <c r="B130" i="6"/>
  <c r="B131" i="6"/>
  <c r="B132" i="6"/>
  <c r="B133" i="6"/>
  <c r="M127" i="6"/>
  <c r="G127" i="6"/>
  <c r="B127" i="6"/>
  <c r="M121" i="6"/>
  <c r="M122" i="6"/>
  <c r="M123" i="6"/>
  <c r="M124" i="6"/>
  <c r="M125" i="6"/>
  <c r="M126" i="6"/>
  <c r="M120" i="6"/>
  <c r="G126" i="6"/>
  <c r="G125" i="6"/>
  <c r="G124" i="6"/>
  <c r="G123" i="6"/>
  <c r="G122" i="6"/>
  <c r="G121" i="6"/>
  <c r="G120" i="6"/>
  <c r="B126" i="6"/>
  <c r="B125" i="6"/>
  <c r="B124" i="6"/>
  <c r="B123" i="6"/>
  <c r="B122" i="6"/>
  <c r="B121" i="6"/>
  <c r="B120" i="6"/>
  <c r="Q88" i="6"/>
  <c r="M88" i="6"/>
  <c r="I88" i="6"/>
  <c r="E88" i="6"/>
  <c r="Q87" i="6"/>
  <c r="M87" i="6"/>
  <c r="I87" i="6"/>
  <c r="E87" i="6"/>
  <c r="Q86" i="6"/>
  <c r="M86" i="6"/>
  <c r="I86" i="6"/>
  <c r="E86" i="6"/>
  <c r="Q85" i="6"/>
  <c r="M85" i="6"/>
  <c r="I85" i="6"/>
  <c r="E85" i="6"/>
  <c r="Q84" i="6"/>
  <c r="M84" i="6"/>
  <c r="I84" i="6"/>
  <c r="E84" i="6"/>
  <c r="Q81" i="6"/>
  <c r="M81" i="6"/>
  <c r="I81" i="6"/>
  <c r="E81" i="6"/>
  <c r="B88" i="6"/>
  <c r="B87" i="6"/>
  <c r="B86" i="6"/>
  <c r="B85" i="6"/>
  <c r="B84" i="6"/>
  <c r="Q80" i="6"/>
  <c r="M80" i="6"/>
  <c r="I80" i="6"/>
  <c r="E80" i="6"/>
  <c r="E73" i="6"/>
  <c r="AO137" i="6" l="1"/>
  <c r="AN137" i="6"/>
  <c r="AO138" i="6"/>
  <c r="AN138" i="6"/>
  <c r="AO139" i="6"/>
  <c r="AN139" i="6"/>
  <c r="AO140" i="6"/>
  <c r="AN140" i="6"/>
  <c r="AO142" i="6"/>
  <c r="AN142" i="6"/>
  <c r="N73" i="6"/>
  <c r="AM173" i="6" l="1"/>
  <c r="AP133" i="6"/>
  <c r="AP132" i="6"/>
  <c r="AP131" i="6"/>
  <c r="AP130" i="6"/>
  <c r="AP129" i="6"/>
  <c r="AP128" i="6"/>
  <c r="AP127" i="6"/>
  <c r="AP126" i="6"/>
  <c r="AP125" i="6"/>
  <c r="AP124" i="6"/>
  <c r="AP123" i="6"/>
  <c r="AP122" i="6"/>
  <c r="AP121" i="6"/>
  <c r="AP120" i="6"/>
  <c r="AN120" i="6"/>
  <c r="AM120" i="6"/>
  <c r="AN112" i="6"/>
  <c r="I112" i="6"/>
  <c r="AN111" i="6"/>
  <c r="I111" i="6"/>
  <c r="O103" i="6"/>
  <c r="E103" i="6"/>
  <c r="O102" i="6"/>
  <c r="E102" i="6"/>
  <c r="AN102" i="6"/>
  <c r="AN99" i="6" s="1"/>
  <c r="L227" i="6" s="1"/>
  <c r="O101" i="6"/>
  <c r="E101" i="6"/>
  <c r="AM88" i="6"/>
  <c r="AM87" i="6"/>
  <c r="AM86" i="6"/>
  <c r="AM85" i="6"/>
  <c r="AM84" i="6"/>
  <c r="AM83" i="6"/>
  <c r="H83" i="6"/>
  <c r="E83" i="6"/>
  <c r="AM81" i="6"/>
  <c r="AM80" i="6"/>
  <c r="AM78" i="6"/>
  <c r="H78" i="6"/>
  <c r="E78" i="6"/>
  <c r="M76" i="6"/>
  <c r="E76" i="6"/>
  <c r="M75" i="6"/>
  <c r="E75" i="6"/>
  <c r="E8" i="6"/>
  <c r="E7" i="6"/>
  <c r="D207" i="6" s="1"/>
  <c r="AG155" i="6" l="1"/>
  <c r="AG208" i="6"/>
  <c r="D57" i="6"/>
  <c r="D154" i="6"/>
  <c r="AG108" i="6"/>
  <c r="AG58" i="6"/>
  <c r="AP112" i="6"/>
  <c r="D107" i="6"/>
  <c r="AM125" i="5"/>
  <c r="L229" i="6" l="1"/>
  <c r="AM229" i="6" s="1"/>
  <c r="L237" i="6"/>
  <c r="AM237" i="6" s="1"/>
  <c r="AM235" i="6"/>
  <c r="AM238" i="6"/>
  <c r="AM227" i="6"/>
  <c r="AN143" i="6"/>
  <c r="F36" i="5"/>
  <c r="L234" i="6" l="1"/>
  <c r="AM234" i="6" s="1"/>
  <c r="AR144" i="5"/>
  <c r="AR143" i="5"/>
  <c r="AO148" i="5"/>
  <c r="AM146" i="5"/>
  <c r="AM144" i="5"/>
  <c r="AM49" i="5"/>
  <c r="AM48" i="5"/>
  <c r="AM47" i="5"/>
  <c r="AM46" i="5"/>
  <c r="AM45" i="5"/>
  <c r="AM44" i="5"/>
  <c r="AM32" i="5"/>
  <c r="AM33" i="5"/>
  <c r="AM34" i="5"/>
  <c r="AM35" i="5"/>
  <c r="AM36" i="5"/>
  <c r="AM31" i="5"/>
  <c r="AM143" i="5"/>
  <c r="AM141" i="5" l="1"/>
  <c r="L241" i="5" s="1"/>
  <c r="AL241" i="5" s="1"/>
  <c r="AR141" i="5"/>
  <c r="I137" i="6"/>
  <c r="AL141" i="5"/>
  <c r="AL119" i="5"/>
  <c r="AB39" i="5"/>
  <c r="X39" i="5"/>
  <c r="T39" i="5"/>
  <c r="P39" i="5"/>
  <c r="L39" i="5"/>
  <c r="AB26" i="5"/>
  <c r="X26" i="5"/>
  <c r="T26" i="5"/>
  <c r="AL151" i="5"/>
  <c r="AM151" i="5"/>
  <c r="AL152" i="5"/>
  <c r="AM152" i="5"/>
  <c r="AL153" i="5"/>
  <c r="AM153" i="5"/>
  <c r="AL154" i="5"/>
  <c r="AM154" i="5"/>
  <c r="AL155" i="5"/>
  <c r="AM155" i="5"/>
  <c r="AL156" i="5"/>
  <c r="AM156" i="5"/>
  <c r="AM150" i="5"/>
  <c r="AL150" i="5"/>
  <c r="AM127" i="5"/>
  <c r="AL127" i="5"/>
  <c r="AL125" i="5"/>
  <c r="AM122" i="5"/>
  <c r="AE161" i="5"/>
  <c r="AE160" i="5"/>
  <c r="D160" i="5"/>
  <c r="AE57" i="5"/>
  <c r="AE56" i="5"/>
  <c r="D56" i="5"/>
  <c r="J115" i="6"/>
  <c r="BJ1" i="5"/>
  <c r="AM144" i="6" l="1"/>
  <c r="AM137" i="6"/>
  <c r="AN115" i="6"/>
  <c r="AO115" i="6"/>
  <c r="L231" i="6" s="1"/>
  <c r="AM231" i="6" s="1"/>
  <c r="L243" i="5"/>
  <c r="AL243" i="5" s="1"/>
  <c r="I142" i="6"/>
  <c r="I141" i="6"/>
  <c r="I140" i="6"/>
  <c r="I139" i="6"/>
  <c r="I138" i="6"/>
  <c r="AM30" i="5"/>
  <c r="AM43" i="5"/>
  <c r="L238" i="5" s="1"/>
  <c r="L249" i="5" l="1"/>
  <c r="AL249" i="5" s="1"/>
  <c r="AL248" i="5"/>
  <c r="L237" i="5"/>
  <c r="AL237" i="5" s="1"/>
  <c r="AM146" i="6"/>
  <c r="AM139" i="6"/>
  <c r="AM147" i="6"/>
  <c r="AM140" i="6"/>
  <c r="AM148" i="6"/>
  <c r="AM141" i="6"/>
  <c r="AM145" i="6"/>
  <c r="AM138" i="6"/>
  <c r="AM149" i="6"/>
  <c r="AM142" i="6"/>
  <c r="AL238" i="5"/>
  <c r="H157" i="5"/>
  <c r="AM158" i="5" l="1"/>
  <c r="L245" i="5" s="1"/>
  <c r="AL245" i="5" s="1"/>
  <c r="AN163" i="5"/>
  <c r="L250" i="5" l="1"/>
  <c r="AL250" i="5" s="1"/>
  <c r="AL235" i="5" s="1"/>
  <c r="AM143" i="6"/>
  <c r="L233" i="6" l="1"/>
  <c r="AM233" i="6" s="1"/>
  <c r="AM226" i="6" s="1"/>
  <c r="A3"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Dewayne</author>
    <author>BDS</author>
  </authors>
  <commentList>
    <comment ref="AC6" authorId="0" shapeId="0" xr:uid="{F420B477-4BE4-4BE0-B5C4-35F098E179F8}">
      <text>
        <r>
          <rPr>
            <b/>
            <sz val="9"/>
            <color indexed="81"/>
            <rFont val="Tahoma"/>
            <family val="2"/>
          </rPr>
          <t xml:space="preserve">Note:  </t>
        </r>
        <r>
          <rPr>
            <sz val="9"/>
            <color indexed="81"/>
            <rFont val="Tahoma"/>
            <family val="2"/>
          </rPr>
          <t xml:space="preserve">Enter the parcel number with no spaces as shown below: 1234567891234.560
</t>
        </r>
      </text>
    </comment>
    <comment ref="AA17" authorId="1" shapeId="0" xr:uid="{07AB17AE-0D81-4D69-B904-FD6B7EC01556}">
      <text>
        <r>
          <rPr>
            <b/>
            <sz val="9"/>
            <color indexed="81"/>
            <rFont val="Tahoma"/>
            <family val="2"/>
          </rPr>
          <t>Note:</t>
        </r>
        <r>
          <rPr>
            <sz val="9"/>
            <color indexed="81"/>
            <rFont val="Tahoma"/>
            <family val="2"/>
          </rPr>
          <t xml:space="preserve">
If there is no EIA, enter 0</t>
        </r>
      </text>
    </comment>
    <comment ref="R91" authorId="1" shapeId="0" xr:uid="{548CF935-D484-43E8-AE82-4F4F02FB7F40}">
      <text>
        <r>
          <rPr>
            <b/>
            <sz val="9"/>
            <color indexed="81"/>
            <rFont val="Tahoma"/>
            <family val="2"/>
          </rPr>
          <t>Note:</t>
        </r>
        <r>
          <rPr>
            <sz val="9"/>
            <color indexed="81"/>
            <rFont val="Tahoma"/>
            <family val="2"/>
          </rPr>
          <t xml:space="preserve">
Enter the total length of ALL isolator rows</t>
        </r>
      </text>
    </comment>
    <comment ref="W91" authorId="1" shapeId="0" xr:uid="{CDD25E10-36BB-45B6-8252-F124B4DF1253}">
      <text>
        <r>
          <rPr>
            <b/>
            <sz val="9"/>
            <color indexed="81"/>
            <rFont val="Tahoma"/>
            <family val="2"/>
          </rPr>
          <t>Note:</t>
        </r>
        <r>
          <rPr>
            <sz val="9"/>
            <color indexed="81"/>
            <rFont val="Tahoma"/>
            <family val="2"/>
          </rPr>
          <t xml:space="preserve">
Enter the total volume of ALL isolator rows</t>
        </r>
      </text>
    </comment>
    <comment ref="R92" authorId="1" shapeId="0" xr:uid="{1B166FFB-C62B-438D-81E5-9803C39E64A7}">
      <text>
        <r>
          <rPr>
            <b/>
            <sz val="9"/>
            <color indexed="81"/>
            <rFont val="Tahoma"/>
            <family val="2"/>
          </rPr>
          <t>Note:</t>
        </r>
        <r>
          <rPr>
            <sz val="9"/>
            <color indexed="81"/>
            <rFont val="Tahoma"/>
            <family val="2"/>
          </rPr>
          <t xml:space="preserve">
Enter the total length of ALL chamber rows</t>
        </r>
      </text>
    </comment>
    <comment ref="W92" authorId="1" shapeId="0" xr:uid="{AE611A5D-EFE8-481A-93EC-35D3171D24D7}">
      <text>
        <r>
          <rPr>
            <b/>
            <sz val="9"/>
            <color indexed="81"/>
            <rFont val="Tahoma"/>
            <family val="2"/>
          </rPr>
          <t>Note:</t>
        </r>
        <r>
          <rPr>
            <sz val="9"/>
            <color indexed="81"/>
            <rFont val="Tahoma"/>
            <family val="2"/>
          </rPr>
          <t xml:space="preserve">
Enter the total volume of ALL chamber rows</t>
        </r>
      </text>
    </comment>
    <comment ref="C128" authorId="1" shapeId="0" xr:uid="{D8C999FC-11DE-4E3C-8863-0A90B6643236}">
      <text>
        <r>
          <rPr>
            <b/>
            <sz val="9"/>
            <color indexed="81"/>
            <rFont val="Tahoma"/>
            <family val="2"/>
          </rPr>
          <t>Note:</t>
        </r>
        <r>
          <rPr>
            <sz val="9"/>
            <color indexed="81"/>
            <rFont val="Tahoma"/>
            <family val="2"/>
          </rPr>
          <t xml:space="preserve">
Select control structure type:  Orifice or Weir</t>
        </r>
      </text>
    </comment>
    <comment ref="C150" authorId="1" shapeId="0" xr:uid="{09E594E1-6D08-4498-A29B-3E90B59431AB}">
      <text>
        <r>
          <rPr>
            <b/>
            <sz val="9"/>
            <color indexed="81"/>
            <rFont val="Tahoma"/>
            <family val="2"/>
          </rPr>
          <t>Note:</t>
        </r>
        <r>
          <rPr>
            <sz val="9"/>
            <color indexed="81"/>
            <rFont val="Tahoma"/>
            <family val="2"/>
          </rPr>
          <t xml:space="preserve">
Include the elevation that represents the WQv</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<sst xmlns="http://schemas.openxmlformats.org/spreadsheetml/2006/main" count="1483" uniqueCount="573">
  <si>
    <t>Development Information</t>
  </si>
  <si>
    <t>Name:</t>
  </si>
  <si>
    <t>Proposed Impervious Area (PIA)</t>
  </si>
  <si>
    <t>Pre-Development</t>
  </si>
  <si>
    <t>Curve Number:</t>
  </si>
  <si>
    <t>(WQ)</t>
  </si>
  <si>
    <t>(2-yr)</t>
  </si>
  <si>
    <t>(5-yr)</t>
  </si>
  <si>
    <t>(10-yr)</t>
  </si>
  <si>
    <t>(25-yr)</t>
  </si>
  <si>
    <t>(100-yr)</t>
  </si>
  <si>
    <t>Post-Development</t>
  </si>
  <si>
    <t>Post Total</t>
  </si>
  <si>
    <t>Pre Total</t>
  </si>
  <si>
    <t>Outfall Location</t>
  </si>
  <si>
    <t>Elevation</t>
  </si>
  <si>
    <t>Area</t>
  </si>
  <si>
    <t>Professional Engineer Certification</t>
  </si>
  <si>
    <t>Address:</t>
  </si>
  <si>
    <t>Date:</t>
  </si>
  <si>
    <t>Comments:</t>
  </si>
  <si>
    <t>Material</t>
  </si>
  <si>
    <t>Concrete</t>
  </si>
  <si>
    <t>Metal</t>
  </si>
  <si>
    <t>HDPP</t>
  </si>
  <si>
    <t>PVC</t>
  </si>
  <si>
    <t>HDPE</t>
  </si>
  <si>
    <t>Material:</t>
  </si>
  <si>
    <t>Other</t>
  </si>
  <si>
    <t>Select</t>
  </si>
  <si>
    <t>Shape:</t>
  </si>
  <si>
    <t>Shape</t>
  </si>
  <si>
    <t>BMP ID:</t>
  </si>
  <si>
    <r>
      <t>Water Quality Volume (WQ</t>
    </r>
    <r>
      <rPr>
        <vertAlign val="subscript"/>
        <sz val="10"/>
        <color theme="1"/>
        <rFont val="Calibri"/>
        <family val="2"/>
      </rPr>
      <t>v</t>
    </r>
    <r>
      <rPr>
        <sz val="10"/>
        <color theme="1"/>
        <rFont val="Calibri"/>
        <family val="2"/>
        <scheme val="minor"/>
      </rPr>
      <t>):</t>
    </r>
  </si>
  <si>
    <r>
      <t>ft</t>
    </r>
    <r>
      <rPr>
        <vertAlign val="superscript"/>
        <sz val="8"/>
        <color theme="1"/>
        <rFont val="Calibri"/>
        <family val="2"/>
      </rPr>
      <t>3</t>
    </r>
  </si>
  <si>
    <r>
      <t>WQ</t>
    </r>
    <r>
      <rPr>
        <vertAlign val="subscript"/>
        <sz val="10"/>
        <color theme="1"/>
        <rFont val="Calibri"/>
        <family val="2"/>
      </rPr>
      <t>v</t>
    </r>
    <r>
      <rPr>
        <sz val="10"/>
        <color theme="1"/>
        <rFont val="Calibri"/>
        <family val="2"/>
        <scheme val="minor"/>
      </rPr>
      <t xml:space="preserve"> = </t>
    </r>
  </si>
  <si>
    <r>
      <t>ft</t>
    </r>
    <r>
      <rPr>
        <vertAlign val="superscript"/>
        <sz val="10"/>
        <color theme="1"/>
        <rFont val="Calibri"/>
        <family val="2"/>
      </rPr>
      <t>2</t>
    </r>
  </si>
  <si>
    <t>Width:</t>
  </si>
  <si>
    <t>Inv. EL</t>
  </si>
  <si>
    <t>in</t>
  </si>
  <si>
    <t>ft</t>
  </si>
  <si>
    <t>Length:</t>
  </si>
  <si>
    <t>Top EL.:</t>
  </si>
  <si>
    <t>Crest EL.:</t>
  </si>
  <si>
    <t>Latitude:</t>
  </si>
  <si>
    <t>Longitude:</t>
  </si>
  <si>
    <t>Basin ID:</t>
  </si>
  <si>
    <t>Cumulative Vol.</t>
  </si>
  <si>
    <r>
      <t>WQ</t>
    </r>
    <r>
      <rPr>
        <vertAlign val="subscript"/>
        <sz val="15"/>
        <color theme="1"/>
        <rFont val="Calibri"/>
        <family val="2"/>
      </rPr>
      <t>v</t>
    </r>
    <r>
      <rPr>
        <sz val="10"/>
        <color theme="1"/>
        <rFont val="Calibri"/>
        <family val="2"/>
        <scheme val="minor"/>
      </rPr>
      <t xml:space="preserve"> Required:</t>
    </r>
  </si>
  <si>
    <r>
      <t>WQ</t>
    </r>
    <r>
      <rPr>
        <vertAlign val="subscript"/>
        <sz val="15"/>
        <color theme="1"/>
        <rFont val="Calibri"/>
        <family val="2"/>
      </rPr>
      <t>v</t>
    </r>
    <r>
      <rPr>
        <sz val="10"/>
        <color theme="1"/>
        <rFont val="Calibri"/>
        <family val="2"/>
        <scheme val="minor"/>
      </rPr>
      <t xml:space="preserve"> Provided:</t>
    </r>
  </si>
  <si>
    <t>Width</t>
  </si>
  <si>
    <t>Time of Concentration (min):</t>
  </si>
  <si>
    <t>Additional Impervious Area (AIA) = PIA - EIA</t>
  </si>
  <si>
    <t>AIA =</t>
  </si>
  <si>
    <t>Design</t>
  </si>
  <si>
    <t>As-Built</t>
  </si>
  <si>
    <t>Water Quality Volume (WQv)</t>
  </si>
  <si>
    <t>WQv Required:</t>
  </si>
  <si>
    <t>WQv Provided:</t>
  </si>
  <si>
    <r>
      <t>Pre Q
(ft</t>
    </r>
    <r>
      <rPr>
        <vertAlign val="superscript"/>
        <sz val="8"/>
        <color theme="1"/>
        <rFont val="Calibri"/>
        <family val="2"/>
      </rPr>
      <t>3</t>
    </r>
    <r>
      <rPr>
        <sz val="10"/>
        <color theme="1"/>
        <rFont val="Calibri"/>
        <family val="2"/>
        <scheme val="minor"/>
      </rPr>
      <t>/s)</t>
    </r>
  </si>
  <si>
    <t>Max Stage
(ft)</t>
  </si>
  <si>
    <r>
      <t>Total Post 
Q (ft</t>
    </r>
    <r>
      <rPr>
        <vertAlign val="superscript"/>
        <sz val="8"/>
        <color theme="1"/>
        <rFont val="Calibri"/>
        <family val="2"/>
      </rPr>
      <t>3</t>
    </r>
    <r>
      <rPr>
        <sz val="10"/>
        <color theme="1"/>
        <rFont val="Calibri"/>
        <family val="2"/>
        <scheme val="minor"/>
      </rPr>
      <t>/s)</t>
    </r>
  </si>
  <si>
    <t>Type</t>
  </si>
  <si>
    <t>Enter data as applicable for the proposed design.</t>
  </si>
  <si>
    <t>General Instructions</t>
  </si>
  <si>
    <t>If a field is highlighted yellow after a number is entered, the yellow highlight may indicate an error and/or concern.  Once the error and/or concern is resolved, the yellow highlight will be removed.  All yellow highlighted cells shall be resolved or an explanitation provided prior to completing the form.</t>
  </si>
  <si>
    <t>Field Types</t>
  </si>
  <si>
    <t>Supplemental Instructions</t>
  </si>
  <si>
    <t>Use the drop down list to select a shape.</t>
  </si>
  <si>
    <t>Riprap</t>
  </si>
  <si>
    <t>Earthen</t>
  </si>
  <si>
    <t>Geotextile</t>
  </si>
  <si>
    <t>Total Post Q &gt; Pre Q</t>
  </si>
  <si>
    <t>Max Stage</t>
  </si>
  <si>
    <t>Total Post</t>
  </si>
  <si>
    <t>Post Total not completed</t>
  </si>
  <si>
    <t>Length</t>
  </si>
  <si>
    <t>Crest</t>
  </si>
  <si>
    <t>Top</t>
  </si>
  <si>
    <t>E. Spillway</t>
  </si>
  <si>
    <t>Design Response</t>
  </si>
  <si>
    <t>Emergency Spillway Section not completed</t>
  </si>
  <si>
    <t>Pre Total not compeleted</t>
  </si>
  <si>
    <t>Max Stage:</t>
  </si>
  <si>
    <t>Automated Review Checks</t>
  </si>
  <si>
    <t>Form Section</t>
  </si>
  <si>
    <t>Pre-Development:</t>
  </si>
  <si>
    <t>Post-Development:</t>
  </si>
  <si>
    <t>Emergency Spillway:</t>
  </si>
  <si>
    <t>Total Post Q:</t>
  </si>
  <si>
    <t>Photographs, at a minimum, shall include the following:</t>
  </si>
  <si>
    <t>The developer / owner shall retain the services of a professional land surveyor to:</t>
  </si>
  <si>
    <t>Develop an as-built drawing.</t>
  </si>
  <si>
    <t>a.</t>
  </si>
  <si>
    <t>b.</t>
  </si>
  <si>
    <t>The developer shall retain the services of a professional engineer to:</t>
  </si>
  <si>
    <t>Storm sewers showing pipes, inlets, junction boxes, outlets, outlet protection, and invert elevations</t>
  </si>
  <si>
    <t>Outlet structure showing multi-stage riser, orifices, weirs, outlet pipe, and WQ filter</t>
  </si>
  <si>
    <t>Outlet pipe discharge location and outlet protection</t>
  </si>
  <si>
    <t>Prior to approval of the Final Plat.</t>
  </si>
  <si>
    <t>Provide ALL required attachments:</t>
  </si>
  <si>
    <t>The issuance of a Certificate of Occupancy; and/or,</t>
  </si>
  <si>
    <t>e.</t>
  </si>
  <si>
    <t>c.</t>
  </si>
  <si>
    <t>d.</t>
  </si>
  <si>
    <t>•</t>
  </si>
  <si>
    <t>Outfall Location:</t>
  </si>
  <si>
    <t>Latitude and/or Longitude not provided</t>
  </si>
  <si>
    <t xml:space="preserve">This is a calculated field.  Once the required information is entered, the orange highlight will be removed. </t>
  </si>
  <si>
    <t>Use the drop down list to select a material.</t>
  </si>
  <si>
    <t>Pond Top EL.:</t>
  </si>
  <si>
    <t xml:space="preserve"> As-built Survey</t>
  </si>
  <si>
    <t xml:space="preserve"> As-built H&amp;H Calculations</t>
  </si>
  <si>
    <t xml:space="preserve"> O&amp;M Agreement</t>
  </si>
  <si>
    <t>Attachments:</t>
  </si>
  <si>
    <t xml:space="preserve"> Yes</t>
  </si>
  <si>
    <t xml:space="preserve"> No</t>
  </si>
  <si>
    <r>
      <t>Pre Q
(ft</t>
    </r>
    <r>
      <rPr>
        <vertAlign val="superscript"/>
        <sz val="9"/>
        <color theme="1"/>
        <rFont val="Calibri"/>
        <family val="2"/>
      </rPr>
      <t>3</t>
    </r>
    <r>
      <rPr>
        <sz val="9"/>
        <color theme="1"/>
        <rFont val="Calibri"/>
        <family val="2"/>
        <scheme val="minor"/>
      </rPr>
      <t>/s)</t>
    </r>
  </si>
  <si>
    <r>
      <t>Total Post 
Q (ft</t>
    </r>
    <r>
      <rPr>
        <vertAlign val="superscript"/>
        <sz val="9"/>
        <color theme="1"/>
        <rFont val="Calibri"/>
        <family val="2"/>
      </rPr>
      <t>3</t>
    </r>
    <r>
      <rPr>
        <sz val="9"/>
        <color theme="1"/>
        <rFont val="Calibri"/>
        <family val="2"/>
        <scheme val="minor"/>
      </rPr>
      <t>/s)</t>
    </r>
  </si>
  <si>
    <t xml:space="preserve"> Design Drawings</t>
  </si>
  <si>
    <t xml:space="preserve"> H&amp;H Calculations</t>
  </si>
  <si>
    <t xml:space="preserve"> Drainage Basin Maps</t>
  </si>
  <si>
    <t>Owner's Information</t>
  </si>
  <si>
    <t xml:space="preserve"> Not Applicable</t>
  </si>
  <si>
    <t xml:space="preserve">Name: </t>
  </si>
  <si>
    <t xml:space="preserve">Address: </t>
  </si>
  <si>
    <t xml:space="preserve">Email: </t>
  </si>
  <si>
    <t xml:space="preserve">HOA Name: </t>
  </si>
  <si>
    <t xml:space="preserve">State: </t>
  </si>
  <si>
    <t xml:space="preserve">Zip Code: </t>
  </si>
  <si>
    <t xml:space="preserve">Phone: </t>
  </si>
  <si>
    <t xml:space="preserve">Title: </t>
  </si>
  <si>
    <t xml:space="preserve">Detail Attached: </t>
  </si>
  <si>
    <t>No</t>
  </si>
  <si>
    <t>Lat</t>
  </si>
  <si>
    <t>Long</t>
  </si>
  <si>
    <t>Lat &amp; Long</t>
  </si>
  <si>
    <r>
      <t>WQ</t>
    </r>
    <r>
      <rPr>
        <vertAlign val="subscript"/>
        <sz val="10"/>
        <color theme="1"/>
        <rFont val="Calibri"/>
        <family val="2"/>
        <scheme val="minor"/>
      </rPr>
      <t>v</t>
    </r>
    <r>
      <rPr>
        <sz val="10"/>
        <color theme="1"/>
        <rFont val="Calibri"/>
        <family val="2"/>
        <scheme val="minor"/>
      </rPr>
      <t>:</t>
    </r>
  </si>
  <si>
    <r>
      <t>WQ</t>
    </r>
    <r>
      <rPr>
        <vertAlign val="subscript"/>
        <sz val="11"/>
        <color theme="1"/>
        <rFont val="Calibri"/>
        <family val="2"/>
        <scheme val="minor"/>
      </rPr>
      <t>v</t>
    </r>
    <r>
      <rPr>
        <sz val="11"/>
        <color theme="1"/>
        <rFont val="Calibri"/>
        <family val="2"/>
        <scheme val="minor"/>
      </rPr>
      <t xml:space="preserve"> Required &gt; WQ</t>
    </r>
    <r>
      <rPr>
        <vertAlign val="subscript"/>
        <sz val="11"/>
        <color theme="1"/>
        <rFont val="Calibri"/>
        <family val="2"/>
        <scheme val="minor"/>
      </rPr>
      <t>v</t>
    </r>
    <r>
      <rPr>
        <sz val="11"/>
        <color theme="1"/>
        <rFont val="Calibri"/>
        <family val="2"/>
        <scheme val="minor"/>
      </rPr>
      <t xml:space="preserve"> Provided</t>
    </r>
  </si>
  <si>
    <t>WQv</t>
  </si>
  <si>
    <t>Pre Q</t>
  </si>
  <si>
    <t>Pond In Q</t>
  </si>
  <si>
    <t>Pre Q:</t>
  </si>
  <si>
    <t>Pond In Q:</t>
  </si>
  <si>
    <t>Montgomery</t>
  </si>
  <si>
    <t>Hoover</t>
  </si>
  <si>
    <t>Prattville</t>
  </si>
  <si>
    <t>Mobile</t>
  </si>
  <si>
    <t xml:space="preserve">Select City: </t>
  </si>
  <si>
    <t xml:space="preserve">Trash Rack: </t>
  </si>
  <si>
    <t xml:space="preserve">Bottom EL: </t>
  </si>
  <si>
    <t>Yes</t>
  </si>
  <si>
    <t xml:space="preserve">WQv Orifice: </t>
  </si>
  <si>
    <t xml:space="preserve">Outlet Pipe: </t>
  </si>
  <si>
    <t xml:space="preserve">Bottom EL.: </t>
  </si>
  <si>
    <t xml:space="preserve">Width: </t>
  </si>
  <si>
    <t xml:space="preserve">Diameter: </t>
  </si>
  <si>
    <t xml:space="preserve">Material: </t>
  </si>
  <si>
    <t xml:space="preserve">Shape: </t>
  </si>
  <si>
    <t xml:space="preserve">Length: </t>
  </si>
  <si>
    <t xml:space="preserve">Top EL.: </t>
  </si>
  <si>
    <t>Round</t>
  </si>
  <si>
    <t>Rectangle</t>
  </si>
  <si>
    <t>Trapezoid</t>
  </si>
  <si>
    <t>Square</t>
  </si>
  <si>
    <t xml:space="preserve"> Photographs</t>
  </si>
  <si>
    <t xml:space="preserve">Date: </t>
  </si>
  <si>
    <t xml:space="preserve">Company: </t>
  </si>
  <si>
    <t xml:space="preserve">Signature: </t>
  </si>
  <si>
    <t xml:space="preserve">Select: </t>
  </si>
  <si>
    <t xml:space="preserve">Orifice: </t>
  </si>
  <si>
    <t xml:space="preserve">Crest EL: </t>
  </si>
  <si>
    <t xml:space="preserve">Attachments: </t>
  </si>
  <si>
    <t xml:space="preserve">Buildings / Structures: </t>
  </si>
  <si>
    <t xml:space="preserve">Driveways / Sidewalks: </t>
  </si>
  <si>
    <t xml:space="preserve">Roads: </t>
  </si>
  <si>
    <t xml:space="preserve">Parking: </t>
  </si>
  <si>
    <t xml:space="preserve">Other: </t>
  </si>
  <si>
    <t xml:space="preserve">Total PIA: </t>
  </si>
  <si>
    <t>Select either "Yes" or "No" by placing an "X" in the appropriate box.  Once an "X" is entered, the green highlight will be removed.</t>
  </si>
  <si>
    <t>Automated Review Checks:  Once information and data are entered into the form, the form will check the information entered and identify any potential issues or concerns.  Prior to printing the form, all automated comments shall be resolved.</t>
  </si>
  <si>
    <t>Automated Comments</t>
  </si>
  <si>
    <t>Form 3C - Underground Detention
As-Built Certification Form</t>
  </si>
  <si>
    <t xml:space="preserve"> Soils Data</t>
  </si>
  <si>
    <t xml:space="preserve"> Manufacturer Data</t>
  </si>
  <si>
    <t xml:space="preserve"> Maintenance Plan</t>
  </si>
  <si>
    <t>Underground Detention</t>
  </si>
  <si>
    <t xml:space="preserve">Hydrologic Soil Group: </t>
  </si>
  <si>
    <t xml:space="preserve"> Detention w/ Infiltration</t>
  </si>
  <si>
    <t xml:space="preserve"> A</t>
  </si>
  <si>
    <t xml:space="preserve"> B</t>
  </si>
  <si>
    <t xml:space="preserve"> C</t>
  </si>
  <si>
    <t xml:space="preserve"> D</t>
  </si>
  <si>
    <t xml:space="preserve">Water Table Depth: </t>
  </si>
  <si>
    <t xml:space="preserve">Saturated Hydraulic Conductivity: </t>
  </si>
  <si>
    <t xml:space="preserve"> Field Test Performed? </t>
  </si>
  <si>
    <t>in/hr</t>
  </si>
  <si>
    <t xml:space="preserve"> Pipe System:</t>
  </si>
  <si>
    <t xml:space="preserve">Inv EL: </t>
  </si>
  <si>
    <t xml:space="preserve"> Manufactured System:</t>
  </si>
  <si>
    <t xml:space="preserve"> Detention</t>
  </si>
  <si>
    <t xml:space="preserve"> ADS</t>
  </si>
  <si>
    <t xml:space="preserve"> Contech</t>
  </si>
  <si>
    <t xml:space="preserve"> Other:</t>
  </si>
  <si>
    <t xml:space="preserve">Type: </t>
  </si>
  <si>
    <r>
      <t>ft</t>
    </r>
    <r>
      <rPr>
        <vertAlign val="superscript"/>
        <sz val="10"/>
        <color theme="1"/>
        <rFont val="Calibri"/>
        <family val="2"/>
        <scheme val="minor"/>
      </rPr>
      <t>3</t>
    </r>
  </si>
  <si>
    <t xml:space="preserve">Installed Volume: </t>
  </si>
  <si>
    <t xml:space="preserve">Pretreatment: </t>
  </si>
  <si>
    <t xml:space="preserve">Inlet Filters: </t>
  </si>
  <si>
    <t xml:space="preserve">Stone Base: </t>
  </si>
  <si>
    <t xml:space="preserve">Chamber Height: </t>
  </si>
  <si>
    <t xml:space="preserve">Stone Above Chamber: </t>
  </si>
  <si>
    <t xml:space="preserve">Compacted Backfill: </t>
  </si>
  <si>
    <t xml:space="preserve">Finished Grade: </t>
  </si>
  <si>
    <t>Depth</t>
  </si>
  <si>
    <t>Bottom EL</t>
  </si>
  <si>
    <t>Top EL</t>
  </si>
  <si>
    <t xml:space="preserve">Isolator Row Manhole: </t>
  </si>
  <si>
    <t>No. Rows</t>
  </si>
  <si>
    <t>ea</t>
  </si>
  <si>
    <t>Diameter</t>
  </si>
  <si>
    <t xml:space="preserve"> Underdrain Pipe(s)</t>
  </si>
  <si>
    <t>Inspection Port(s)</t>
  </si>
  <si>
    <t xml:space="preserve"> System Layout</t>
  </si>
  <si>
    <t xml:space="preserve"> System Cross Section</t>
  </si>
  <si>
    <t xml:space="preserve"> Chamber Specs</t>
  </si>
  <si>
    <t xml:space="preserve">No. Ports: </t>
  </si>
  <si>
    <t>Isolator</t>
  </si>
  <si>
    <t>Chamber</t>
  </si>
  <si>
    <t>Discharge Summary</t>
  </si>
  <si>
    <t>ES Tot</t>
  </si>
  <si>
    <t xml:space="preserve">No. Rows: </t>
  </si>
  <si>
    <t xml:space="preserve">Inv. EL: </t>
  </si>
  <si>
    <t>Perform a field survey of the constructed underground detention system; and,</t>
  </si>
  <si>
    <t>Discharge Summary:</t>
  </si>
  <si>
    <r>
      <t>In Q
(ft</t>
    </r>
    <r>
      <rPr>
        <vertAlign val="superscript"/>
        <sz val="9"/>
        <color theme="1"/>
        <rFont val="Calibri"/>
        <family val="2"/>
      </rPr>
      <t>3</t>
    </r>
    <r>
      <rPr>
        <sz val="9"/>
        <color theme="1"/>
        <rFont val="Calibri"/>
        <family val="2"/>
        <scheme val="minor"/>
      </rPr>
      <t>/s)</t>
    </r>
  </si>
  <si>
    <r>
      <t>Out Q 
(ft</t>
    </r>
    <r>
      <rPr>
        <vertAlign val="superscript"/>
        <sz val="9"/>
        <color theme="1"/>
        <rFont val="Calibri"/>
        <family val="2"/>
      </rPr>
      <t>3</t>
    </r>
    <r>
      <rPr>
        <sz val="9"/>
        <color theme="1"/>
        <rFont val="Calibri"/>
        <family val="2"/>
        <scheme val="minor"/>
      </rPr>
      <t>/s)</t>
    </r>
  </si>
  <si>
    <t>This is a required field.  Place an "X" in the appropriate box and the green highlight will be removed.  In some cases, the selection is optional.  Once an option is completed, additional fields will be highlighted green and in some fields the green highlight will be removed.</t>
  </si>
  <si>
    <t>Once the Design, As-built, or Inspection Forms are completed, there should be no green, yellow, or orange highlighted fields.</t>
  </si>
  <si>
    <t>The Supplemental Instructions provide additional guidance and design standards.</t>
  </si>
  <si>
    <t>General overview of the underground detention system</t>
  </si>
  <si>
    <t>Location where the underground detention system discharges into receiving stream, culvert, or channel</t>
  </si>
  <si>
    <t>Revision Date:</t>
  </si>
  <si>
    <t>Emerg. Spillway</t>
  </si>
  <si>
    <t>Jefferson</t>
  </si>
  <si>
    <t>Velocity
(ft/s)</t>
  </si>
  <si>
    <t>Velocity:</t>
  </si>
  <si>
    <t>Effective Date:</t>
  </si>
  <si>
    <t>1 February 2020</t>
  </si>
  <si>
    <t>1 October 2020</t>
  </si>
  <si>
    <t>1 October 2015</t>
  </si>
  <si>
    <t>1 July 2018</t>
  </si>
  <si>
    <t>Type:</t>
  </si>
  <si>
    <t>City</t>
  </si>
  <si>
    <t>County</t>
  </si>
  <si>
    <t>Maintenance Agreement:</t>
  </si>
  <si>
    <t xml:space="preserve"> Covenant</t>
  </si>
  <si>
    <t>Entity Type:</t>
  </si>
  <si>
    <t>Provides the required water quality volume (WQv);</t>
  </si>
  <si>
    <t xml:space="preserve">Post-development runoff mimics pre-development hydrology to the maximum extent practicable (MEP). </t>
  </si>
  <si>
    <t>By affixing my professional seal and signature on this form, I hereby certify that the underground detention system:</t>
  </si>
  <si>
    <t>Velocity</t>
  </si>
  <si>
    <t>By affixing my professional seal and signature on this form, I hereby certify that the underground detention system has been constructed in accordance with the approved design.  I further certify that the drainage areas shown in the approved hydrology and hydraulic (H&amp;H) calculations do in fact drain into the underground detention system and that the post-development runoff mimics pre-development hydrology to the maximum extent practicable (MEP).</t>
  </si>
  <si>
    <t xml:space="preserve"> As-Built Survey Drawing(s)</t>
  </si>
  <si>
    <t>Printing the form may require some adjustments to the print settings for the printer being used.</t>
  </si>
  <si>
    <t>Home Owners Association (HOA) Information</t>
  </si>
  <si>
    <t>All applicable developments shall be responsible for ensuring that post-development hydrology mimics</t>
  </si>
  <si>
    <t>will not adversely impact and/or cause flooding of structures within the development;</t>
  </si>
  <si>
    <t>Filtration system for the WQv Orifice shall allow the volume of stormwater associated with the WQv</t>
  </si>
  <si>
    <t>Drainage areas shown in the hydrology and hydraulic (H&amp;H) calculations drain into the underground detention</t>
  </si>
  <si>
    <t>system; and,</t>
  </si>
  <si>
    <t xml:space="preserve">Site features to include but not limited to roads, rights-of-way, property lines, driveways, buildings, </t>
  </si>
  <si>
    <t>parking areas, fences, retaining walls, dumpster pads, etc.</t>
  </si>
  <si>
    <t>Detail of the outlet structure showing elevations and dimensions of multi-stage riser, orifices, weirs,</t>
  </si>
  <si>
    <t>outlet pipe, WQ filter, etc.</t>
  </si>
  <si>
    <t>Certification Form;</t>
  </si>
  <si>
    <t>Current Logo</t>
  </si>
  <si>
    <t>This is a required field.  Once a number or text is entered, the green highlight will be removed.</t>
  </si>
  <si>
    <t xml:space="preserve">None: </t>
  </si>
  <si>
    <t>Max Elev.
(ft)</t>
  </si>
  <si>
    <t>City:</t>
  </si>
  <si>
    <t>Comments?</t>
  </si>
  <si>
    <t>Permit Type:</t>
  </si>
  <si>
    <t>Max Velocity:</t>
  </si>
  <si>
    <t>Lookup Table</t>
  </si>
  <si>
    <t>Engineering or Building No.</t>
  </si>
  <si>
    <t>V-notch</t>
  </si>
  <si>
    <t>Max Velocity</t>
  </si>
  <si>
    <t>Freeboard  &lt;  1.0 ft</t>
  </si>
  <si>
    <t>Emergency Spillway Freeboard:</t>
  </si>
  <si>
    <t>Post &lt; 0.5</t>
  </si>
  <si>
    <t>Complete Design Form with the required design information.  Once the Design Form is completed, most of the Design section of the As-built Form will be prepopulated.</t>
  </si>
  <si>
    <t>Use the drop down list to select an orifice or weir.</t>
  </si>
  <si>
    <t xml:space="preserve">Weir: </t>
  </si>
  <si>
    <t>Rainfall depths were obtained from NOAA Atlas 14, Volume 9, Version 2.</t>
  </si>
  <si>
    <t xml:space="preserve"> NA</t>
  </si>
  <si>
    <t>Page 5 of 5</t>
  </si>
  <si>
    <t>Page 4 of 5</t>
  </si>
  <si>
    <t>Page 3 of 5</t>
  </si>
  <si>
    <t>Page 2 of 5</t>
  </si>
  <si>
    <t>Page 1 of 5</t>
  </si>
  <si>
    <t>No. Taken</t>
  </si>
  <si>
    <t>Date</t>
  </si>
  <si>
    <t>Isolator Row Manhole</t>
  </si>
  <si>
    <t xml:space="preserve">City: </t>
  </si>
  <si>
    <t xml:space="preserve">Contact Name: </t>
  </si>
  <si>
    <t xml:space="preserve">Seal: </t>
  </si>
  <si>
    <t xml:space="preserve"> Cultec</t>
  </si>
  <si>
    <t xml:space="preserve">  Prinsco</t>
  </si>
  <si>
    <t>Inspection Manholes(s)</t>
  </si>
  <si>
    <t xml:space="preserve">No. : Manholes: </t>
  </si>
  <si>
    <t>Total Volume</t>
  </si>
  <si>
    <t>Total Length</t>
  </si>
  <si>
    <t xml:space="preserve">Isolator Rows: </t>
  </si>
  <si>
    <t xml:space="preserve">Chamber Rows: </t>
  </si>
  <si>
    <t xml:space="preserve">Total Installed System Volume: </t>
  </si>
  <si>
    <t>ENG No.</t>
  </si>
  <si>
    <t xml:space="preserve">Total Stone Volume: </t>
  </si>
  <si>
    <t xml:space="preserve">Total Length: </t>
  </si>
  <si>
    <t xml:space="preserve">Total Volume: </t>
  </si>
  <si>
    <t>f.</t>
  </si>
  <si>
    <t>g.</t>
  </si>
  <si>
    <t>Underground detention system components during construciton</t>
  </si>
  <si>
    <t xml:space="preserve">Insp Report Due: </t>
  </si>
  <si>
    <t>30 Septbember</t>
  </si>
  <si>
    <t>1 September</t>
  </si>
  <si>
    <t>Installation of and underground detention system shall not adversely impact and/or cause flooding</t>
  </si>
  <si>
    <t>of properties located within, upstream, and/or downstream of the development;</t>
  </si>
  <si>
    <t>A stormwater pathway (i.e. piped storm sewer, overland flow, etc.) within the development shall</t>
  </si>
  <si>
    <t>be provided to convey the discharge resulting from a 100-year, 24-hour storm event in a manner that</t>
  </si>
  <si>
    <t>to drain slowly from the underground detention system within a 48-hour period;</t>
  </si>
  <si>
    <t xml:space="preserve">WQ Filter: </t>
  </si>
  <si>
    <t>Outfall to receiving stream / storm sewer</t>
  </si>
  <si>
    <t>Insp Report Due:</t>
  </si>
  <si>
    <t>Arch</t>
  </si>
  <si>
    <t>Elliptical</t>
  </si>
  <si>
    <t>(50-yr)</t>
  </si>
  <si>
    <t>Storm:</t>
  </si>
  <si>
    <t>Storms:</t>
  </si>
  <si>
    <t>2, 5, 10, 25, 50, and 100</t>
  </si>
  <si>
    <r>
      <t>Total Post Q is &lt; -0.50 ft</t>
    </r>
    <r>
      <rPr>
        <vertAlign val="superscript"/>
        <sz val="10.8"/>
        <color theme="1"/>
        <rFont val="Calibri"/>
        <family val="2"/>
      </rPr>
      <t>3</t>
    </r>
    <r>
      <rPr>
        <sz val="11"/>
        <color theme="1"/>
        <rFont val="Calibri"/>
        <family val="2"/>
        <scheme val="minor"/>
      </rPr>
      <t>/s of Pre Q</t>
    </r>
  </si>
  <si>
    <t xml:space="preserve"> ac</t>
  </si>
  <si>
    <t xml:space="preserve"> sq-ft</t>
  </si>
  <si>
    <t>%</t>
  </si>
  <si>
    <t>Form 2C.1 - Underground Detention
Design Form</t>
  </si>
  <si>
    <t>Slope</t>
  </si>
  <si>
    <r>
      <t>Peak Discharge (ft</t>
    </r>
    <r>
      <rPr>
        <vertAlign val="superscript"/>
        <sz val="8"/>
        <color theme="1"/>
        <rFont val="Calibri"/>
        <family val="2"/>
      </rPr>
      <t>3</t>
    </r>
    <r>
      <rPr>
        <sz val="10"/>
        <color theme="1"/>
        <rFont val="Calibri"/>
        <family val="2"/>
        <scheme val="minor"/>
      </rPr>
      <t>/s)</t>
    </r>
  </si>
  <si>
    <t>Design Questions</t>
  </si>
  <si>
    <t>Flooding</t>
  </si>
  <si>
    <t>Total</t>
  </si>
  <si>
    <r>
      <t>Photographs</t>
    </r>
    <r>
      <rPr>
        <sz val="10"/>
        <color theme="1"/>
        <rFont val="Calibri"/>
        <family val="2"/>
        <scheme val="minor"/>
      </rPr>
      <t xml:space="preserve"> </t>
    </r>
  </si>
  <si>
    <t>Does the project drain to an area of known flooding?</t>
  </si>
  <si>
    <t xml:space="preserve">Does the project drain onto an adjacent property? </t>
  </si>
  <si>
    <t>Adj. Property</t>
  </si>
  <si>
    <t>General design standards and requirements shall be as follows:</t>
  </si>
  <si>
    <t xml:space="preserve">No. of Isolator Row Manholes: </t>
  </si>
  <si>
    <t>ID</t>
  </si>
  <si>
    <t>Sump Depth</t>
  </si>
  <si>
    <t xml:space="preserve">Manifold Pipe? </t>
  </si>
  <si>
    <t xml:space="preserve"> System Layout (cont)</t>
  </si>
  <si>
    <t>----------  Manifold  ----------</t>
  </si>
  <si>
    <t>No. IRM</t>
  </si>
  <si>
    <t xml:space="preserve">Design Form Date: </t>
  </si>
  <si>
    <t>31 December</t>
  </si>
  <si>
    <t>As-Built does not match Design, provide a reason in the Comments section</t>
  </si>
  <si>
    <t>Example components of a manufactured system is provided below for information only.</t>
  </si>
  <si>
    <t>An underground detention system shall not be located within a floodplain or floodway;</t>
  </si>
  <si>
    <t xml:space="preserve">No.: </t>
  </si>
  <si>
    <t>Caption, date, and/or description on all photographs</t>
  </si>
  <si>
    <t>*Isolator row manhole(s)</t>
  </si>
  <si>
    <t>*Manifold(s)</t>
  </si>
  <si>
    <t>*Manifold rows</t>
  </si>
  <si>
    <t>*Isolator rows</t>
  </si>
  <si>
    <t>*Chamber rows</t>
  </si>
  <si>
    <t>*Underdrain system</t>
  </si>
  <si>
    <t>*Photographs shall be taken during construction of the underground detention system</t>
  </si>
  <si>
    <t>Location of the underground detention components (i.e. isolator rows, chamber rows, manifold, under drain,</t>
  </si>
  <si>
    <t>inspection ports, etc.), contours, spot elevations, outlet structure, outlet pipe, and outlet protection.</t>
  </si>
  <si>
    <t>Emergency spillway and discharge location, if applicable</t>
  </si>
  <si>
    <t>Caption identifying the date, location, and description of the photograph</t>
  </si>
  <si>
    <t>All required photographs are not provided</t>
  </si>
  <si>
    <t>Photographs:</t>
  </si>
  <si>
    <t>Does the underground detention discharge into an existing storm sewer (i.e. pipe, concrete swale, etc.)?</t>
  </si>
  <si>
    <t>Will future development phases discharge into the underground detention?  Complete Form 2C.2.</t>
  </si>
  <si>
    <t>Form 2C.2 - Underground Detention Design Form Attachment is attached?</t>
  </si>
  <si>
    <t>No. Storms:</t>
  </si>
  <si>
    <t>Known Flooding Req:</t>
  </si>
  <si>
    <t>T-Shape</t>
  </si>
  <si>
    <t>Stage-Area-Storage Summary</t>
  </si>
  <si>
    <t>Known Flooding Storm:</t>
  </si>
  <si>
    <t>Adj Property Req:</t>
  </si>
  <si>
    <t>Adj Property Storm:</t>
  </si>
  <si>
    <t>Req?</t>
  </si>
  <si>
    <t>Storm</t>
  </si>
  <si>
    <t>Q Lookup</t>
  </si>
  <si>
    <t>Pre Q Lookup Table</t>
  </si>
  <si>
    <t>Property</t>
  </si>
  <si>
    <t xml:space="preserve">Select Area Units: </t>
  </si>
  <si>
    <t xml:space="preserve">Total Area: </t>
  </si>
  <si>
    <t xml:space="preserve">EIA = </t>
  </si>
  <si>
    <t>ac</t>
  </si>
  <si>
    <t xml:space="preserve">Existing Impervious Area (EIA): </t>
  </si>
  <si>
    <t xml:space="preserve">PIA = </t>
  </si>
  <si>
    <t>Units Check</t>
  </si>
  <si>
    <t xml:space="preserve">AIA = </t>
  </si>
  <si>
    <t>ac or sq-ft selection</t>
  </si>
  <si>
    <t xml:space="preserve">Drainage Area </t>
  </si>
  <si>
    <t>OCS</t>
  </si>
  <si>
    <t>ES</t>
  </si>
  <si>
    <t>OCS = Outlet Control Structure</t>
  </si>
  <si>
    <t>ES = Emergency Spillway</t>
  </si>
  <si>
    <t>Lat Text</t>
  </si>
  <si>
    <t>Long Text</t>
  </si>
  <si>
    <t>Latitude and/or Longitude has been entered as text.  Change to a number.</t>
  </si>
  <si>
    <t>Outlet Control Structure (OCS)</t>
  </si>
  <si>
    <t>Emergency Spillway (ES)</t>
  </si>
  <si>
    <t xml:space="preserve">Parcel No.: </t>
  </si>
  <si>
    <t>H&amp;H calculations shall include all the information required to validate information provided on this form</t>
  </si>
  <si>
    <t xml:space="preserve"> i.e. model network, existing drainage areas, proposed drainage areas, time of concentration, curve number, </t>
  </si>
  <si>
    <t xml:space="preserve">pre-development peak discharges, post-development peak discharges, outlet structure geometry, emergency </t>
  </si>
  <si>
    <t>outflow hydrographs, and outlet  velocities.</t>
  </si>
  <si>
    <t>Post-development discharges shall be less than pre-development discharges at all discharge locations.</t>
  </si>
  <si>
    <t>Provide the velocity at the end of any velocity dissipation device.</t>
  </si>
  <si>
    <t>OCS Velocity
(ft/s)</t>
  </si>
  <si>
    <t>ES Velocity
(ft/s)</t>
  </si>
  <si>
    <t>Parcel No.:</t>
  </si>
  <si>
    <t>Parcel No. has not been provided</t>
  </si>
  <si>
    <t xml:space="preserve">Detention Type:  </t>
  </si>
  <si>
    <t xml:space="preserve">Hydrologic Soil Group:  </t>
  </si>
  <si>
    <t xml:space="preserve"> Pipe or Vault System:</t>
  </si>
  <si>
    <t>Spillage agreement</t>
  </si>
  <si>
    <t>The as-built drawing shall bear the date, seal, and signature of the professional land surveyor.</t>
  </si>
  <si>
    <t>As-built drawing, at a minimum, shall include the following:</t>
  </si>
  <si>
    <t>Will not adversely impact and/or cause flooding of structures within, upstream, and/or downstream of the</t>
  </si>
  <si>
    <t>development;</t>
  </si>
  <si>
    <t>If a proposed development discharges onto an adjacent property, the proposed development shall:</t>
  </si>
  <si>
    <t>Agreement Type:</t>
  </si>
  <si>
    <t>Known Flooding Storm &lt;:</t>
  </si>
  <si>
    <t>Adj Property Storm&lt;:</t>
  </si>
  <si>
    <t>Known or Adj Storm</t>
  </si>
  <si>
    <t>Requirements</t>
  </si>
  <si>
    <t>Question</t>
  </si>
  <si>
    <t>5, 10, 25, 50, and 100</t>
  </si>
  <si>
    <t>10, 25, 50, and 100</t>
  </si>
  <si>
    <t>25, 50, and 100</t>
  </si>
  <si>
    <t>50 and 100</t>
  </si>
  <si>
    <t>Outlet protection section not completed</t>
  </si>
  <si>
    <t>Slope of the bottom of the detention pond  &lt; 2.00%</t>
  </si>
  <si>
    <t>Known or Adj Design Storm:</t>
  </si>
  <si>
    <t>Known or Adj Design Storm&lt;:</t>
  </si>
  <si>
    <t>Outlet Protection</t>
  </si>
  <si>
    <t>Riprap apron</t>
  </si>
  <si>
    <t>Concrete flume with baffles</t>
  </si>
  <si>
    <t>Concrete box with chambers</t>
  </si>
  <si>
    <t>Concrete box with baffles</t>
  </si>
  <si>
    <t>Pre-manufactured product</t>
  </si>
  <si>
    <t xml:space="preserve">Depth: </t>
  </si>
  <si>
    <t xml:space="preserve">Geotextile: </t>
  </si>
  <si>
    <t>Outlet Protection:</t>
  </si>
  <si>
    <t>Will a level spreader be used?</t>
  </si>
  <si>
    <t>Design Storm</t>
  </si>
  <si>
    <t>Max Stage for 2, 5, 10, 25, and/or 50-year storm  &gt; emergency spillway crest elevation</t>
  </si>
  <si>
    <t>Outlet control structure and  WQv filter</t>
  </si>
  <si>
    <t xml:space="preserve">Effective Date: </t>
  </si>
  <si>
    <t xml:space="preserve">Acceptance (required): </t>
  </si>
  <si>
    <t>Selection Required</t>
  </si>
  <si>
    <t xml:space="preserve">Expiration Date: </t>
  </si>
  <si>
    <t xml:space="preserve">IMPORTANT - READ BEFORE USE: </t>
  </si>
  <si>
    <t xml:space="preserve">Current Status: </t>
  </si>
  <si>
    <t xml:space="preserve">Administrator Code (Hidden): </t>
  </si>
  <si>
    <t>Workbook Lock Configuration</t>
  </si>
  <si>
    <t xml:space="preserve">Lock Date: </t>
  </si>
  <si>
    <t xml:space="preserve">Active Months: </t>
  </si>
  <si>
    <t xml:space="preserve">Override LockD and Time: </t>
  </si>
  <si>
    <t xml:space="preserve">Admin Unlock Code: </t>
  </si>
  <si>
    <t xml:space="preserve">Computed Lock Date and Time: </t>
  </si>
  <si>
    <t xml:space="preserve">Accepted Flag: </t>
  </si>
  <si>
    <t xml:space="preserve">Gate OK: </t>
  </si>
  <si>
    <t>Acceptance Table</t>
  </si>
  <si>
    <t>I ACCEPT</t>
  </si>
  <si>
    <t>I DO NOT ACCEPT</t>
  </si>
  <si>
    <t>Baldwin County</t>
  </si>
  <si>
    <t>Licensor grants the User a non-exclusive, non-transferable, non-sublicensable, revocable license to use the Tool soley to prepare</t>
  </si>
  <si>
    <t>submissions.  All other uses, including redistribution, public posting, training, or use for other agencies, are prohibited unless</t>
  </si>
  <si>
    <t>Ownership; No Work-for-Hire</t>
  </si>
  <si>
    <t>The Tool is licensed, not sold.  Licensor retains all right, title, and interest in and to the Tool, including all formulas, code,</t>
  </si>
  <si>
    <t>templates, and documentation.  The Tool is not a work made for hire and no implied licenses are granted.</t>
  </si>
  <si>
    <t>Restrictions</t>
  </si>
  <si>
    <t>Suspension and Termination</t>
  </si>
  <si>
    <t>Public Records Acknowledgment</t>
  </si>
  <si>
    <t>Disclaimers; Limitation of Liability</t>
  </si>
  <si>
    <t>Injunctive Relief</t>
  </si>
  <si>
    <t>Unathorized use, copying, or distribution of the Tool will cause irreparable harm for which monetary damages are inadequate;</t>
  </si>
  <si>
    <t>Licensor may seek injunctive relief in addition to other remedies.</t>
  </si>
  <si>
    <t>Acceptance</t>
  </si>
  <si>
    <t>Entity:</t>
  </si>
  <si>
    <t>the City of Hoover</t>
  </si>
  <si>
    <t>Jefferson County</t>
  </si>
  <si>
    <t>the City of Mobile</t>
  </si>
  <si>
    <t>the City of Montgomery</t>
  </si>
  <si>
    <t>the City of Prattville</t>
  </si>
  <si>
    <t>bds958hc</t>
  </si>
  <si>
    <t xml:space="preserve">The User shall not and shall not permit others to: (a) copy, modify, decompile, or reverse-engineer the Tool; (b) remove proprietary </t>
  </si>
  <si>
    <t>Licensor may suspend immediately if the Tool is misused, compromised, or used in a manner creating security, legal, or reputational risk.</t>
  </si>
  <si>
    <t>special, consequential, or punitive damages.</t>
  </si>
  <si>
    <t>-yr</t>
  </si>
  <si>
    <t xml:space="preserve"> O&amp;M Plan</t>
  </si>
  <si>
    <t>Drainage Rights</t>
  </si>
  <si>
    <r>
      <t>This workbook and its embedded logic, validators, and scripts (collectively, the "</t>
    </r>
    <r>
      <rPr>
        <b/>
        <sz val="12"/>
        <color theme="1"/>
        <rFont val="Calibri"/>
        <family val="2"/>
      </rPr>
      <t>Tool</t>
    </r>
    <r>
      <rPr>
        <sz val="12"/>
        <color theme="1"/>
        <rFont val="Calibri"/>
        <family val="2"/>
        <scheme val="minor"/>
      </rPr>
      <t xml:space="preserve">") are proprietary to </t>
    </r>
    <r>
      <rPr>
        <b/>
        <sz val="12"/>
        <color theme="1"/>
        <rFont val="Calibri"/>
        <family val="2"/>
        <scheme val="minor"/>
      </rPr>
      <t>Hydro, LLC</t>
    </r>
    <r>
      <rPr>
        <sz val="12"/>
        <color theme="1"/>
        <rFont val="Calibri"/>
        <family val="2"/>
        <scheme val="minor"/>
      </rPr>
      <t xml:space="preserve"> ("</t>
    </r>
    <r>
      <rPr>
        <b/>
        <sz val="12"/>
        <color theme="1"/>
        <rFont val="Calibri"/>
        <family val="2"/>
        <scheme val="minor"/>
      </rPr>
      <t>Licensor</t>
    </r>
    <r>
      <rPr>
        <sz val="12"/>
        <color theme="1"/>
        <rFont val="Calibri"/>
        <family val="2"/>
        <scheme val="minor"/>
      </rPr>
      <t>").</t>
    </r>
  </si>
  <si>
    <t>authorized, do not use the Tool.</t>
  </si>
  <si>
    <t>Limited License</t>
  </si>
  <si>
    <t>agreed in writing.</t>
  </si>
  <si>
    <t>notices, logos, or watermarks; (c) bypass or disable protections; or (d) redistribute the Tool to third parties (other than submitting filled</t>
  </si>
  <si>
    <t>the permitted purpose.</t>
  </si>
  <si>
    <t>Upon expiration/termination, User shall stop using the Tool, but may retain archive copies of completed submissions an records</t>
  </si>
  <si>
    <t>created during the Term.</t>
  </si>
  <si>
    <t>(including templates, code, logic) remains Licensor's proprietary material and is not a public record merely by being used to creat submittions.</t>
  </si>
  <si>
    <t>No Professional Services; User Responsibility</t>
  </si>
  <si>
    <t>regulations control.  User is solely responsible for the accuracy and completeness of all data and deliverables.</t>
  </si>
  <si>
    <r>
      <t>The Tool is provided "</t>
    </r>
    <r>
      <rPr>
        <b/>
        <sz val="12"/>
        <color theme="1"/>
        <rFont val="Calibri"/>
        <family val="2"/>
      </rPr>
      <t>AS IS</t>
    </r>
    <r>
      <rPr>
        <sz val="12"/>
        <color theme="1"/>
        <rFont val="Calibri"/>
        <family val="2"/>
        <scheme val="minor"/>
      </rPr>
      <t>".  Licensor disclaims all warranties, express or implied (including merchantability, fitness for a particular</t>
    </r>
  </si>
  <si>
    <t>purpose, and non-infringement.)  To the  Maximum extent permitted by law, Licensor will not be liable for indirect, incidental,</t>
  </si>
  <si>
    <t>Feedback</t>
  </si>
  <si>
    <t>Suggestions or feedback may be used by Licensor without restriction or obligation.</t>
  </si>
  <si>
    <t>Governing Law</t>
  </si>
  <si>
    <t>This License is governed by the laws of Alabama, without regard to conflicts principles.  The exclusive venue is the state or federal</t>
  </si>
  <si>
    <t>courts located in Lee County, Alabama.</t>
  </si>
  <si>
    <t>General</t>
  </si>
  <si>
    <t>This is the entire agreement regarding the Tool, and supersedes prior or contemporaneous terms.  If any provision is unenforceable,</t>
  </si>
  <si>
    <t>it will be limited or severed to the minimum extent necessary.  User may not assign this License without Licensor's consent;</t>
  </si>
  <si>
    <t>Licensor may assign in connection with a merger, acquisition, or sale of assets.  Lecensor may issue updated version of the</t>
  </si>
  <si>
    <t>Tool subject to updated terms, use of a new version constitutes acceptance of its terms.</t>
  </si>
  <si>
    <r>
      <t>By clicking "</t>
    </r>
    <r>
      <rPr>
        <b/>
        <sz val="12"/>
        <color theme="1"/>
        <rFont val="Calibri"/>
        <family val="2"/>
      </rPr>
      <t>I ACCEPT</t>
    </r>
    <r>
      <rPr>
        <sz val="12"/>
        <color theme="1"/>
        <rFont val="Calibri"/>
        <family val="2"/>
        <scheme val="minor"/>
      </rPr>
      <t>", you agree to this License on behalf of your organization.</t>
    </r>
  </si>
  <si>
    <t>END USER LICENSE AGREEMENT (EULA)</t>
  </si>
  <si>
    <r>
      <t>maintaining internal records for that submittal; and (b) you have authority to bind your organization ("</t>
    </r>
    <r>
      <rPr>
        <b/>
        <sz val="12"/>
        <color theme="1"/>
        <rFont val="Calibri"/>
        <family val="2"/>
      </rPr>
      <t>User</t>
    </r>
    <r>
      <rPr>
        <sz val="12"/>
        <color theme="1"/>
        <rFont val="Calibri"/>
        <family val="2"/>
        <scheme val="minor"/>
      </rPr>
      <t>").  If you are not</t>
    </r>
  </si>
  <si>
    <t>Underground Detention (UD)</t>
  </si>
  <si>
    <r>
      <t>UD In 
Q (ft</t>
    </r>
    <r>
      <rPr>
        <vertAlign val="superscript"/>
        <sz val="8"/>
        <color theme="1"/>
        <rFont val="Calibri"/>
        <family val="2"/>
      </rPr>
      <t>3</t>
    </r>
    <r>
      <rPr>
        <sz val="10"/>
        <color theme="1"/>
        <rFont val="Calibri"/>
        <family val="2"/>
        <scheme val="minor"/>
      </rPr>
      <t>/s)</t>
    </r>
  </si>
  <si>
    <r>
      <t>UD Out 
Q (ft</t>
    </r>
    <r>
      <rPr>
        <vertAlign val="superscript"/>
        <sz val="8"/>
        <color theme="1"/>
        <rFont val="Calibri"/>
        <family val="2"/>
      </rPr>
      <t>3</t>
    </r>
    <r>
      <rPr>
        <sz val="10"/>
        <color theme="1"/>
        <rFont val="Calibri"/>
        <family val="2"/>
        <scheme val="minor"/>
      </rPr>
      <t>/s)</t>
    </r>
  </si>
  <si>
    <t>UD = Underground Detention</t>
  </si>
  <si>
    <r>
      <t>WQ</t>
    </r>
    <r>
      <rPr>
        <vertAlign val="subscript"/>
        <sz val="15"/>
        <color theme="1"/>
        <rFont val="Calibri"/>
        <family val="2"/>
      </rPr>
      <t>v</t>
    </r>
    <r>
      <rPr>
        <sz val="10"/>
        <color theme="1"/>
        <rFont val="Calibri"/>
        <family val="2"/>
        <scheme val="minor"/>
      </rPr>
      <t xml:space="preserve"> Elevation: </t>
    </r>
  </si>
  <si>
    <t>Have low impact development (LID) / green infrasturcture (GI) Practices been implemented?</t>
  </si>
  <si>
    <t>24-hour storm event without allowing any discharge from the emergency spillway;</t>
  </si>
  <si>
    <t xml:space="preserve">Span: </t>
  </si>
  <si>
    <t xml:space="preserve">Rise: </t>
  </si>
  <si>
    <t>Dia./Span/Deg</t>
  </si>
  <si>
    <t>Rise</t>
  </si>
  <si>
    <t>Form 2G - Level Spreader Design Form is attached?</t>
  </si>
  <si>
    <t>Lee County</t>
  </si>
  <si>
    <t>Release Agreement</t>
  </si>
  <si>
    <t>Spillage Agreement</t>
  </si>
  <si>
    <t xml:space="preserve"> Excel file with tabular hydrographs in</t>
  </si>
  <si>
    <t xml:space="preserve">  0.05-hour time interval</t>
  </si>
  <si>
    <t xml:space="preserve"> Drainage basins DGN, DWG, Shapefile or KMZ in WGS84</t>
  </si>
  <si>
    <t xml:space="preserve"> Excel file with tabular hydrographs in 0.05-hour time interval</t>
  </si>
  <si>
    <t xml:space="preserve">Outlet pipe discharges into a storm sewer pipe, concrete swale or riprap swale? </t>
  </si>
  <si>
    <t>Additional Pre and/or Post basin information provided on</t>
  </si>
  <si>
    <r>
      <t>Additional Basin Information:</t>
    </r>
    <r>
      <rPr>
        <b/>
        <sz val="12"/>
        <color theme="1"/>
        <rFont val="Calibri"/>
        <family val="2"/>
        <scheme val="minor"/>
      </rPr>
      <t xml:space="preserve"> </t>
    </r>
    <r>
      <rPr>
        <sz val="10"/>
        <color theme="1"/>
        <rFont val="Calibri"/>
        <family val="2"/>
        <scheme val="minor"/>
      </rPr>
      <t xml:space="preserve"> </t>
    </r>
  </si>
  <si>
    <t>Riprap?</t>
  </si>
  <si>
    <t>Class</t>
  </si>
  <si>
    <t>Riprap Class</t>
  </si>
  <si>
    <t>Min Depth (ft)</t>
  </si>
  <si>
    <t>Outlet protection using Class 2 Riprap shall have a minimum depth of 1.50-feet.</t>
  </si>
  <si>
    <t>NA</t>
  </si>
  <si>
    <t>*Inspection port(s) / Manholes</t>
  </si>
  <si>
    <t>*General Overview (bedding, pipe, chambers, etc.)</t>
  </si>
  <si>
    <t>Will the underground detention system discharge to an area of sheet flow?</t>
  </si>
  <si>
    <t>Will the undergournd detention system discharge to a channel?</t>
  </si>
  <si>
    <t>currently sheet flow, provide a level spreader to convert the point source discharge to sheet flow.</t>
  </si>
  <si>
    <t>The principal outlet control structure for a underground detention system shall be sized to convey the 2, 5, 10, 25, and 50-year,</t>
  </si>
  <si>
    <t>Use the as-built drawing to complete Form 3C – Underground Detention As-built</t>
  </si>
  <si>
    <r>
      <t>Out Q
(ft</t>
    </r>
    <r>
      <rPr>
        <vertAlign val="superscript"/>
        <sz val="9"/>
        <color theme="1"/>
        <rFont val="Calibri"/>
        <family val="2"/>
      </rPr>
      <t>3</t>
    </r>
    <r>
      <rPr>
        <sz val="9"/>
        <color theme="1"/>
        <rFont val="Calibri"/>
        <family val="2"/>
        <scheme val="minor"/>
      </rPr>
      <t>/s)</t>
    </r>
  </si>
  <si>
    <t>The calculation methodology shall utilize the Natural Resources Conservation Service (NRCS) Urban</t>
  </si>
  <si>
    <t>Form 2C.3 - Underground Detention Additional Basins Form?</t>
  </si>
  <si>
    <t xml:space="preserve">spillway geometry, stage-area storage summary, discharge summary, inflow and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</si>
</sst>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409]d\-mmm\-yy;@"/>
    <numFmt numFmtId="165" formatCode="0.000000"/>
    <numFmt numFmtId="166" formatCode="0."/>
    <numFmt numFmtId="167" formatCode="[$-409]d\ mmmm\ yyyy;@"/>
    <numFmt numFmtId="168" formatCode="[$-409]dd\ mmmm\ yyyy;@"/>
    <numFmt numFmtId="169" formatCode="[&lt;=9999999]###\-####;\(###\)\ ###\-####"/>
    <numFmt numFmtId="170" formatCode="[$-409]mmmm\ d\,\ yyyy;@"/>
    <numFmt numFmtId="171" formatCode="#,##0.0000"/>
    <numFmt numFmtId="172" formatCode="00\ 00\ 00\ 0\ 000\ 000.000"/>
    <numFmt numFmtId="173" formatCode="[$-409]dd\ mmmm\ yyyy\ h:mm\ AM/PM;@"/>
    <numFmt numFmtId="174" formatCode="0\)"/>
    <numFmt numFmtId="175" formatCode="0.000000_);\(0.000000\)"/>
  </numFmts>
  <fonts count="31" x14ac:knownFonts="1">
    <font>
      <sz val="11"/>
      <color theme="1"/>
      <name val="Calibri"/>
      <family val="2"/>
      <scheme val="minor"/>
    </font>
    <font>
      <b/>
      <u/>
      <sz val="12"/>
      <color theme="1"/>
      <name val="Calibri"/>
      <family val="2"/>
      <scheme val="minor"/>
    </font>
    <font>
      <b/>
      <sz val="18"/>
      <color theme="1"/>
      <name val="Calibri"/>
      <family val="2"/>
      <scheme val="minor"/>
    </font>
    <font>
      <sz val="10"/>
      <color theme="1"/>
      <name val="Calibri"/>
      <family val="2"/>
      <scheme val="minor"/>
    </font>
    <font>
      <vertAlign val="subscript"/>
      <sz val="10"/>
      <color theme="1"/>
      <name val="Calibri"/>
      <family val="2"/>
    </font>
    <font>
      <b/>
      <sz val="10"/>
      <color theme="1"/>
      <name val="Calibri"/>
      <family val="2"/>
      <scheme val="minor"/>
    </font>
    <font>
      <vertAlign val="superscript"/>
      <sz val="10"/>
      <color theme="1"/>
      <name val="Calibri"/>
      <family val="2"/>
    </font>
    <font>
      <vertAlign val="superscript"/>
      <sz val="8"/>
      <color theme="1"/>
      <name val="Calibri"/>
      <family val="2"/>
    </font>
    <font>
      <u/>
      <sz val="10"/>
      <color theme="1"/>
      <name val="Calibri"/>
      <family val="2"/>
      <scheme val="minor"/>
    </font>
    <font>
      <b/>
      <sz val="12"/>
      <color theme="1"/>
      <name val="Calibri"/>
      <family val="2"/>
      <scheme val="minor"/>
    </font>
    <font>
      <vertAlign val="subscript"/>
      <sz val="15"/>
      <color theme="1"/>
      <name val="Calibri"/>
      <family val="2"/>
    </font>
    <font>
      <u/>
      <sz val="11"/>
      <color theme="10"/>
      <name val="Calibri"/>
      <family val="2"/>
      <scheme val="minor"/>
    </font>
    <font>
      <b/>
      <u/>
      <sz val="10"/>
      <color theme="1"/>
      <name val="Calibri"/>
      <family val="2"/>
      <scheme val="minor"/>
    </font>
    <font>
      <vertAlign val="subscript"/>
      <sz val="11"/>
      <color theme="1"/>
      <name val="Calibri"/>
      <family val="2"/>
      <scheme val="minor"/>
    </font>
    <font>
      <b/>
      <u/>
      <sz val="16"/>
      <color theme="1"/>
      <name val="Calibri"/>
      <family val="2"/>
      <scheme val="minor"/>
    </font>
    <font>
      <sz val="12"/>
      <color theme="1"/>
      <name val="Calibri"/>
      <family val="2"/>
      <scheme val="minor"/>
    </font>
    <font>
      <u/>
      <sz val="12"/>
      <color theme="1"/>
      <name val="Calibri"/>
      <family val="2"/>
      <scheme val="minor"/>
    </font>
    <font>
      <sz val="11"/>
      <color theme="1"/>
      <name val="Calibri"/>
      <family val="2"/>
    </font>
    <font>
      <sz val="9"/>
      <color theme="1"/>
      <name val="Calibri"/>
      <family val="2"/>
      <scheme val="minor"/>
    </font>
    <font>
      <vertAlign val="superscript"/>
      <sz val="9"/>
      <color theme="1"/>
      <name val="Calibri"/>
      <family val="2"/>
    </font>
    <font>
      <vertAlign val="subscript"/>
      <sz val="10"/>
      <color theme="1"/>
      <name val="Calibri"/>
      <family val="2"/>
      <scheme val="minor"/>
    </font>
    <font>
      <vertAlign val="superscript"/>
      <sz val="10"/>
      <color theme="1"/>
      <name val="Calibri"/>
      <family val="2"/>
      <scheme val="minor"/>
    </font>
    <font>
      <sz val="8"/>
      <name val="Calibri"/>
      <family val="2"/>
      <scheme val="minor"/>
    </font>
    <font>
      <sz val="10"/>
      <color theme="1"/>
      <name val="Calibri"/>
      <family val="2"/>
    </font>
    <font>
      <sz val="9"/>
      <color indexed="81"/>
      <name val="Tahoma"/>
      <family val="2"/>
    </font>
    <font>
      <b/>
      <sz val="9"/>
      <color indexed="81"/>
      <name val="Tahoma"/>
      <family val="2"/>
    </font>
    <font>
      <vertAlign val="superscript"/>
      <sz val="10.8"/>
      <color theme="1"/>
      <name val="Calibri"/>
      <family val="2"/>
    </font>
    <font>
      <b/>
      <sz val="11"/>
      <color theme="1"/>
      <name val="Calibri"/>
      <family val="2"/>
      <scheme val="minor"/>
    </font>
    <font>
      <u/>
      <sz val="10"/>
      <color theme="10"/>
      <name val="Calibri"/>
      <family val="2"/>
      <scheme val="minor"/>
    </font>
    <font>
      <b/>
      <sz val="11"/>
      <color theme="0"/>
      <name val="Calibri"/>
      <family val="2"/>
      <scheme val="minor"/>
    </font>
    <font>
      <b/>
      <sz val="12"/>
      <color theme="1"/>
      <name val="Calibri"/>
      <family val="2"/>
    </font>
  </fonts>
  <fills count="11">
    <fill>
      <patternFill patternType="none"/>
    </fill>
    <fill>
      <patternFill patternType="gray125"/>
    </fill>
    <fill>
      <patternFill patternType="solid">
        <fgColor theme="7" tint="0.59996337778862885"/>
        <bgColor indexed="64"/>
      </patternFill>
    </fill>
    <fill>
      <patternFill patternType="solid">
        <fgColor theme="8" tint="0.59996337778862885"/>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0" tint="-0.14996795556505021"/>
        <bgColor indexed="64"/>
      </patternFill>
    </fill>
    <fill>
      <patternFill patternType="solid">
        <fgColor rgb="FFFFFFCC"/>
        <bgColor indexed="64"/>
      </patternFill>
    </fill>
    <fill>
      <patternFill patternType="solid">
        <fgColor theme="2" tint="-9.9948118533890809E-2"/>
        <bgColor indexed="64"/>
      </patternFill>
    </fill>
    <fill>
      <patternFill patternType="solid">
        <fgColor theme="4"/>
        <bgColor theme="4"/>
      </patternFill>
    </fill>
    <fill>
      <patternFill patternType="solid">
        <fgColor theme="7" tint="0.79998168889431442"/>
        <bgColor indexed="64"/>
      </patternFill>
    </fill>
  </fills>
  <borders count="30">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right/>
      <top style="thin">
        <color auto="1"/>
      </top>
      <bottom style="double">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ck">
        <color auto="1"/>
      </left>
      <right/>
      <top/>
      <bottom/>
      <diagonal/>
    </border>
    <border>
      <left/>
      <right style="thick">
        <color auto="1"/>
      </right>
      <top/>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auto="1"/>
      </left>
      <right/>
      <top style="thin">
        <color auto="1"/>
      </top>
      <bottom style="thin">
        <color indexed="64"/>
      </bottom>
      <diagonal/>
    </border>
    <border>
      <left/>
      <right style="thin">
        <color indexed="64"/>
      </right>
      <top style="thin">
        <color indexed="64"/>
      </top>
      <bottom style="thin">
        <color indexed="64"/>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theme="4" tint="0.39997558519241921"/>
      </left>
      <right/>
      <top style="thin">
        <color theme="4" tint="0.39997558519241921"/>
      </top>
      <bottom/>
      <diagonal/>
    </border>
    <border>
      <left/>
      <right style="thin">
        <color theme="4" tint="0.39997558519241921"/>
      </right>
      <top style="thin">
        <color theme="4" tint="0.39997558519241921"/>
      </top>
      <bottom/>
      <diagonal/>
    </border>
    <border>
      <left style="thin">
        <color theme="4" tint="0.39994506668294322"/>
      </left>
      <right/>
      <top style="thin">
        <color theme="4" tint="0.39994506668294322"/>
      </top>
      <bottom/>
      <diagonal/>
    </border>
    <border>
      <left/>
      <right style="thin">
        <color theme="4" tint="0.39994506668294322"/>
      </right>
      <top style="thin">
        <color theme="4" tint="0.39994506668294322"/>
      </top>
      <bottom/>
      <diagonal/>
    </border>
    <border>
      <left style="thin">
        <color theme="4" tint="0.39994506668294322"/>
      </left>
      <right/>
      <top/>
      <bottom/>
      <diagonal/>
    </border>
    <border>
      <left style="hair">
        <color auto="1"/>
      </left>
      <right style="thin">
        <color theme="4" tint="0.39994506668294322"/>
      </right>
      <top style="hair">
        <color auto="1"/>
      </top>
      <bottom style="hair">
        <color auto="1"/>
      </bottom>
      <diagonal/>
    </border>
    <border>
      <left/>
      <right style="thin">
        <color theme="4" tint="0.39994506668294322"/>
      </right>
      <top/>
      <bottom/>
      <diagonal/>
    </border>
    <border>
      <left style="thin">
        <color theme="4" tint="0.39994506668294322"/>
      </left>
      <right/>
      <top/>
      <bottom style="thin">
        <color theme="4" tint="0.39994506668294322"/>
      </bottom>
      <diagonal/>
    </border>
    <border>
      <left/>
      <right style="thin">
        <color theme="4" tint="0.39994506668294322"/>
      </right>
      <top/>
      <bottom style="thin">
        <color theme="4" tint="0.3999450666829432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1" fillId="0" borderId="0" applyNumberFormat="0" applyFill="0" applyBorder="0" applyAlignment="0" applyProtection="0"/>
  </cellStyleXfs>
  <cellXfs count="261">
    <xf numFmtId="0" fontId="0" fillId="0" borderId="0" xfId="0"/>
    <xf numFmtId="0" fontId="1" fillId="0" borderId="0" xfId="0" applyFont="1" applyAlignment="1">
      <alignment vertical="center"/>
    </xf>
    <xf numFmtId="0" fontId="3" fillId="0" borderId="0" xfId="0" applyFont="1" applyAlignment="1">
      <alignment horizontal="right" vertical="center"/>
    </xf>
    <xf numFmtId="0" fontId="5" fillId="0" borderId="0" xfId="0" applyFont="1" applyAlignment="1">
      <alignment vertical="center" wrapText="1"/>
    </xf>
    <xf numFmtId="0" fontId="3" fillId="0" borderId="0" xfId="0" applyFont="1" applyAlignment="1">
      <alignment horizontal="center" vertical="center"/>
    </xf>
    <xf numFmtId="0" fontId="9" fillId="0" borderId="0" xfId="0" applyFont="1" applyAlignment="1">
      <alignment vertical="center"/>
    </xf>
    <xf numFmtId="4" fontId="3" fillId="0" borderId="0" xfId="0" applyNumberFormat="1" applyFont="1" applyAlignment="1" applyProtection="1">
      <alignment vertical="center"/>
      <protection hidden="1"/>
    </xf>
    <xf numFmtId="0" fontId="3" fillId="0" borderId="0" xfId="0" applyFont="1" applyAlignment="1" applyProtection="1">
      <alignment vertical="center"/>
      <protection hidden="1"/>
    </xf>
    <xf numFmtId="0" fontId="3" fillId="4" borderId="0" xfId="0" applyFont="1" applyFill="1" applyAlignment="1">
      <alignment vertical="center"/>
    </xf>
    <xf numFmtId="0" fontId="3" fillId="4" borderId="0" xfId="0" applyFont="1" applyFill="1" applyAlignment="1">
      <alignment horizontal="right" vertical="center"/>
    </xf>
    <xf numFmtId="2" fontId="3" fillId="0" borderId="0" xfId="0" applyNumberFormat="1" applyFont="1" applyAlignment="1" applyProtection="1">
      <alignment horizontal="right" vertical="center"/>
      <protection hidden="1"/>
    </xf>
    <xf numFmtId="2" fontId="3" fillId="0" borderId="0" xfId="0" applyNumberFormat="1" applyFont="1" applyAlignment="1" applyProtection="1">
      <alignment vertical="center"/>
      <protection hidden="1"/>
    </xf>
    <xf numFmtId="0" fontId="3" fillId="0" borderId="0" xfId="0" applyFont="1" applyAlignment="1">
      <alignment horizontal="left" vertical="center"/>
    </xf>
    <xf numFmtId="0" fontId="3" fillId="6" borderId="0" xfId="0" applyFont="1" applyFill="1" applyAlignment="1">
      <alignment vertical="center"/>
    </xf>
    <xf numFmtId="166" fontId="15" fillId="0" borderId="0" xfId="0" applyNumberFormat="1" applyFont="1" applyAlignment="1">
      <alignment horizontal="center" vertical="center"/>
    </xf>
    <xf numFmtId="0" fontId="15" fillId="0" borderId="0" xfId="0" applyFont="1" applyAlignment="1">
      <alignment vertical="center"/>
    </xf>
    <xf numFmtId="0" fontId="15" fillId="0" borderId="1" xfId="0" applyFont="1" applyBorder="1" applyAlignment="1">
      <alignment horizontal="center" vertical="center"/>
    </xf>
    <xf numFmtId="4" fontId="15" fillId="0" borderId="1" xfId="0" applyNumberFormat="1" applyFont="1" applyBorder="1" applyAlignment="1">
      <alignment vertical="center"/>
    </xf>
    <xf numFmtId="0" fontId="16" fillId="2" borderId="1" xfId="0" applyFont="1" applyFill="1" applyBorder="1" applyAlignment="1">
      <alignment vertical="center"/>
    </xf>
    <xf numFmtId="0" fontId="15" fillId="5" borderId="1" xfId="0" applyFont="1" applyFill="1" applyBorder="1" applyAlignment="1">
      <alignment vertical="center"/>
    </xf>
    <xf numFmtId="0" fontId="9" fillId="0" borderId="0" xfId="0" applyFont="1" applyAlignment="1">
      <alignment horizontal="left" vertical="center"/>
    </xf>
    <xf numFmtId="0" fontId="3" fillId="0" borderId="13" xfId="0" applyFont="1" applyBorder="1" applyAlignment="1">
      <alignment horizontal="center" vertical="center"/>
    </xf>
    <xf numFmtId="0" fontId="3" fillId="6" borderId="0" xfId="0" applyFont="1" applyFill="1" applyAlignment="1">
      <alignment horizontal="center" vertical="center"/>
    </xf>
    <xf numFmtId="166" fontId="3" fillId="0" borderId="0" xfId="0" applyNumberFormat="1" applyFont="1" applyAlignment="1">
      <alignment horizontal="center" vertical="center"/>
    </xf>
    <xf numFmtId="0" fontId="2" fillId="0" borderId="0" xfId="0" applyFont="1" applyAlignment="1">
      <alignment vertical="center" wrapText="1"/>
    </xf>
    <xf numFmtId="0" fontId="2" fillId="0" borderId="0" xfId="0" applyFont="1" applyAlignment="1">
      <alignment horizontal="right" vertical="center" wrapText="1"/>
    </xf>
    <xf numFmtId="166" fontId="0" fillId="0" borderId="0" xfId="0" applyNumberFormat="1" applyAlignment="1">
      <alignment horizontal="center" vertical="center"/>
    </xf>
    <xf numFmtId="0" fontId="0" fillId="0" borderId="0" xfId="0" applyAlignment="1">
      <alignment vertical="center"/>
    </xf>
    <xf numFmtId="0" fontId="3" fillId="0" borderId="0" xfId="0" applyFont="1" applyAlignment="1">
      <alignment vertical="center"/>
    </xf>
    <xf numFmtId="0" fontId="17" fillId="0" borderId="0" xfId="0" applyFont="1" applyAlignment="1">
      <alignment horizontal="center" vertical="center"/>
    </xf>
    <xf numFmtId="0" fontId="3" fillId="0" borderId="11" xfId="0" applyFont="1" applyBorder="1" applyAlignment="1">
      <alignment vertical="center"/>
    </xf>
    <xf numFmtId="0" fontId="0" fillId="0" borderId="0" xfId="0" applyAlignment="1">
      <alignment wrapText="1"/>
    </xf>
    <xf numFmtId="2" fontId="3" fillId="0" borderId="0" xfId="0" applyNumberFormat="1" applyFont="1" applyAlignment="1">
      <alignment horizontal="right" vertical="center"/>
    </xf>
    <xf numFmtId="2" fontId="3" fillId="0" borderId="0" xfId="0" applyNumberFormat="1" applyFont="1" applyAlignment="1">
      <alignment vertical="center"/>
    </xf>
    <xf numFmtId="0" fontId="3" fillId="0" borderId="0" xfId="0" applyFont="1" applyAlignment="1">
      <alignment horizontal="right"/>
    </xf>
    <xf numFmtId="0" fontId="12" fillId="0" borderId="0" xfId="0" applyFont="1" applyAlignment="1">
      <alignment vertical="center"/>
    </xf>
    <xf numFmtId="165" fontId="3" fillId="0" borderId="0" xfId="0" applyNumberFormat="1" applyFont="1" applyAlignment="1">
      <alignment vertical="center"/>
    </xf>
    <xf numFmtId="3" fontId="3" fillId="0" borderId="0" xfId="0" applyNumberFormat="1" applyFont="1" applyAlignment="1">
      <alignment vertical="center"/>
    </xf>
    <xf numFmtId="166" fontId="9" fillId="0" borderId="0" xfId="0" applyNumberFormat="1" applyFont="1" applyAlignment="1">
      <alignment horizontal="center" vertical="center"/>
    </xf>
    <xf numFmtId="4" fontId="3" fillId="0" borderId="0" xfId="0" applyNumberFormat="1" applyFont="1" applyAlignment="1">
      <alignment vertical="center"/>
    </xf>
    <xf numFmtId="0" fontId="3" fillId="0" borderId="0" xfId="0" applyFont="1" applyAlignment="1">
      <alignment horizontal="right" vertical="center" indent="1"/>
    </xf>
    <xf numFmtId="3" fontId="3" fillId="0" borderId="0" xfId="0" applyNumberFormat="1" applyFont="1" applyAlignment="1">
      <alignment horizontal="right" vertical="center"/>
    </xf>
    <xf numFmtId="0" fontId="11" fillId="0" borderId="0" xfId="1" applyBorder="1" applyAlignment="1" applyProtection="1">
      <alignment horizontal="left" vertical="center"/>
    </xf>
    <xf numFmtId="0" fontId="5" fillId="4" borderId="5" xfId="0" applyFont="1" applyFill="1" applyBorder="1" applyAlignment="1">
      <alignment vertical="center"/>
    </xf>
    <xf numFmtId="0" fontId="3" fillId="4" borderId="3" xfId="0" applyFont="1" applyFill="1" applyBorder="1" applyAlignment="1">
      <alignment vertical="center"/>
    </xf>
    <xf numFmtId="0" fontId="3" fillId="4" borderId="6" xfId="0" applyFont="1" applyFill="1" applyBorder="1" applyAlignment="1">
      <alignment vertical="center"/>
    </xf>
    <xf numFmtId="0" fontId="3" fillId="4" borderId="7" xfId="0" applyFont="1" applyFill="1" applyBorder="1" applyAlignment="1">
      <alignment vertical="center"/>
    </xf>
    <xf numFmtId="0" fontId="12" fillId="4" borderId="0" xfId="0" applyFont="1" applyFill="1" applyAlignment="1">
      <alignment horizontal="right" vertical="center"/>
    </xf>
    <xf numFmtId="0" fontId="12" fillId="4" borderId="0" xfId="0" applyFont="1" applyFill="1" applyAlignment="1">
      <alignment vertical="center"/>
    </xf>
    <xf numFmtId="0" fontId="3" fillId="4" borderId="8" xfId="0" applyFont="1" applyFill="1" applyBorder="1" applyAlignment="1">
      <alignment vertical="center"/>
    </xf>
    <xf numFmtId="0" fontId="3" fillId="4" borderId="9" xfId="0" applyFont="1" applyFill="1" applyBorder="1" applyAlignment="1">
      <alignment vertical="center"/>
    </xf>
    <xf numFmtId="0" fontId="3" fillId="4" borderId="1" xfId="0" applyFont="1" applyFill="1" applyBorder="1" applyAlignment="1">
      <alignment vertical="center"/>
    </xf>
    <xf numFmtId="0" fontId="3" fillId="4" borderId="1" xfId="0" applyFont="1" applyFill="1" applyBorder="1" applyAlignment="1">
      <alignment horizontal="right" vertical="center"/>
    </xf>
    <xf numFmtId="0" fontId="3" fillId="4" borderId="10" xfId="0" applyFont="1" applyFill="1" applyBorder="1" applyAlignment="1">
      <alignment vertical="center"/>
    </xf>
    <xf numFmtId="166" fontId="14" fillId="0" borderId="0" xfId="0" applyNumberFormat="1" applyFont="1" applyAlignment="1">
      <alignment vertical="center"/>
    </xf>
    <xf numFmtId="0" fontId="3" fillId="6" borderId="0" xfId="0" applyFont="1" applyFill="1" applyAlignment="1">
      <alignment horizontal="left" vertical="center"/>
    </xf>
    <xf numFmtId="0" fontId="9" fillId="6" borderId="0" xfId="0" applyFont="1" applyFill="1" applyAlignment="1">
      <alignment horizontal="left" vertical="center"/>
    </xf>
    <xf numFmtId="0" fontId="9" fillId="6" borderId="0" xfId="0" applyFont="1" applyFill="1" applyAlignment="1">
      <alignment vertical="center"/>
    </xf>
    <xf numFmtId="0" fontId="15" fillId="0" borderId="0" xfId="0" applyFont="1" applyAlignment="1">
      <alignment horizontal="left" vertical="center" wrapText="1"/>
    </xf>
    <xf numFmtId="0" fontId="15" fillId="0" borderId="0" xfId="0" applyFont="1" applyAlignment="1">
      <alignment vertical="center" wrapText="1"/>
    </xf>
    <xf numFmtId="0" fontId="3" fillId="0" borderId="0" xfId="0" applyFont="1" applyAlignment="1">
      <alignment vertical="top" wrapText="1"/>
    </xf>
    <xf numFmtId="0" fontId="1" fillId="0" borderId="0" xfId="0" applyFont="1" applyAlignment="1">
      <alignment horizontal="left" vertical="center"/>
    </xf>
    <xf numFmtId="0" fontId="5" fillId="4" borderId="3" xfId="0" applyFont="1" applyFill="1" applyBorder="1" applyAlignment="1">
      <alignment vertical="center"/>
    </xf>
    <xf numFmtId="165" fontId="3" fillId="0" borderId="0" xfId="0" applyNumberFormat="1" applyFont="1" applyAlignment="1" applyProtection="1">
      <alignment vertical="center"/>
      <protection hidden="1"/>
    </xf>
    <xf numFmtId="0" fontId="1" fillId="0" borderId="12" xfId="0" applyFont="1" applyBorder="1" applyAlignment="1">
      <alignment vertical="center"/>
    </xf>
    <xf numFmtId="0" fontId="3" fillId="0" borderId="11" xfId="0" applyFont="1" applyBorder="1" applyAlignment="1">
      <alignment horizontal="right" vertical="center"/>
    </xf>
    <xf numFmtId="0" fontId="0" fillId="0" borderId="0" xfId="0" applyAlignment="1">
      <alignment vertical="top"/>
    </xf>
    <xf numFmtId="0" fontId="3" fillId="0" borderId="3" xfId="0" applyFont="1" applyBorder="1" applyAlignment="1">
      <alignment vertical="center"/>
    </xf>
    <xf numFmtId="0" fontId="2" fillId="6" borderId="0" xfId="0" applyFont="1" applyFill="1" applyAlignment="1">
      <alignment vertical="center" wrapText="1"/>
    </xf>
    <xf numFmtId="0" fontId="2" fillId="0" borderId="0" xfId="0" applyFont="1" applyAlignment="1">
      <alignment vertical="center"/>
    </xf>
    <xf numFmtId="0" fontId="3" fillId="6" borderId="0" xfId="0" applyFont="1" applyFill="1" applyAlignment="1">
      <alignment horizontal="right" vertical="center"/>
    </xf>
    <xf numFmtId="1" fontId="3" fillId="0" borderId="0" xfId="0" applyNumberFormat="1" applyFont="1" applyAlignment="1">
      <alignment vertical="center"/>
    </xf>
    <xf numFmtId="166" fontId="0" fillId="0" borderId="0" xfId="0" applyNumberFormat="1" applyAlignment="1">
      <alignment horizontal="left" vertical="center"/>
    </xf>
    <xf numFmtId="0" fontId="0" fillId="0" borderId="0" xfId="0" applyAlignment="1">
      <alignment vertical="center" wrapText="1"/>
    </xf>
    <xf numFmtId="0" fontId="3" fillId="0" borderId="0" xfId="0" applyFont="1"/>
    <xf numFmtId="0" fontId="3" fillId="6" borderId="0" xfId="0" applyFont="1" applyFill="1"/>
    <xf numFmtId="1" fontId="3" fillId="6" borderId="0" xfId="0" applyNumberFormat="1" applyFont="1" applyFill="1" applyAlignment="1">
      <alignment vertical="center"/>
    </xf>
    <xf numFmtId="3" fontId="3" fillId="0" borderId="3" xfId="0" applyNumberFormat="1" applyFont="1" applyBorder="1" applyAlignment="1">
      <alignment horizontal="right" vertical="center"/>
    </xf>
    <xf numFmtId="0" fontId="3" fillId="0" borderId="0" xfId="0" applyFont="1" applyAlignment="1">
      <alignment horizontal="center" vertical="center" wrapText="1"/>
    </xf>
    <xf numFmtId="0" fontId="3" fillId="0" borderId="2" xfId="0" applyFont="1" applyBorder="1" applyAlignment="1">
      <alignment horizontal="right" vertical="center"/>
    </xf>
    <xf numFmtId="0" fontId="5" fillId="0" borderId="0" xfId="0" applyFont="1" applyAlignment="1">
      <alignment vertical="center"/>
    </xf>
    <xf numFmtId="0" fontId="8" fillId="0" borderId="0" xfId="0" applyFont="1" applyAlignment="1">
      <alignment vertical="center"/>
    </xf>
    <xf numFmtId="0" fontId="3" fillId="0" borderId="12" xfId="0" applyFont="1" applyBorder="1" applyAlignment="1">
      <alignment vertical="center"/>
    </xf>
    <xf numFmtId="166" fontId="0" fillId="0" borderId="0" xfId="0" applyNumberFormat="1" applyAlignment="1">
      <alignment horizontal="center" vertical="top"/>
    </xf>
    <xf numFmtId="0" fontId="3" fillId="0" borderId="0" xfId="0" applyFont="1" applyAlignment="1">
      <alignment vertical="top"/>
    </xf>
    <xf numFmtId="0" fontId="0" fillId="0" borderId="0" xfId="0" applyAlignment="1">
      <alignment horizontal="right" vertical="center"/>
    </xf>
    <xf numFmtId="0" fontId="3" fillId="0" borderId="1" xfId="0" applyFont="1" applyBorder="1" applyAlignment="1">
      <alignment vertical="center"/>
    </xf>
    <xf numFmtId="0" fontId="0" fillId="0" borderId="0" xfId="0" applyAlignment="1">
      <alignment horizontal="center"/>
    </xf>
    <xf numFmtId="2" fontId="0" fillId="0" borderId="0" xfId="0" applyNumberFormat="1"/>
    <xf numFmtId="0" fontId="0" fillId="0" borderId="0" xfId="0" applyAlignment="1">
      <alignment horizontal="right"/>
    </xf>
    <xf numFmtId="0" fontId="3" fillId="0" borderId="0" xfId="0" applyFont="1" applyAlignment="1">
      <alignment vertical="center" wrapText="1"/>
    </xf>
    <xf numFmtId="0" fontId="23" fillId="0" borderId="0" xfId="0" applyFont="1" applyAlignment="1">
      <alignment horizontal="center" vertical="center"/>
    </xf>
    <xf numFmtId="166" fontId="3" fillId="0" borderId="0" xfId="0" applyNumberFormat="1" applyFont="1" applyAlignment="1">
      <alignment horizontal="center" vertical="top"/>
    </xf>
    <xf numFmtId="0" fontId="3" fillId="6" borderId="13" xfId="0" applyFont="1" applyFill="1" applyBorder="1" applyAlignment="1">
      <alignment vertical="center"/>
    </xf>
    <xf numFmtId="0" fontId="3" fillId="6" borderId="13" xfId="0" applyFont="1" applyFill="1" applyBorder="1" applyAlignment="1">
      <alignment horizontal="center" vertical="center"/>
    </xf>
    <xf numFmtId="0" fontId="27" fillId="0" borderId="0" xfId="0" applyFont="1"/>
    <xf numFmtId="3" fontId="3" fillId="6" borderId="13" xfId="0" applyNumberFormat="1" applyFont="1" applyFill="1" applyBorder="1" applyAlignment="1">
      <alignment horizontal="center" vertical="center"/>
    </xf>
    <xf numFmtId="1" fontId="3" fillId="6" borderId="13" xfId="0" applyNumberFormat="1" applyFont="1" applyFill="1" applyBorder="1" applyAlignment="1">
      <alignment horizontal="center" vertical="center"/>
    </xf>
    <xf numFmtId="2" fontId="3" fillId="6" borderId="13" xfId="0" applyNumberFormat="1" applyFont="1" applyFill="1" applyBorder="1" applyAlignment="1">
      <alignment horizontal="center" vertical="center"/>
    </xf>
    <xf numFmtId="0" fontId="5" fillId="4" borderId="0" xfId="0" applyFont="1" applyFill="1" applyAlignment="1">
      <alignment horizontal="right" vertical="center"/>
    </xf>
    <xf numFmtId="0" fontId="3" fillId="0" borderId="3" xfId="0" applyFont="1" applyBorder="1" applyAlignment="1">
      <alignment horizontal="right" vertical="center"/>
    </xf>
    <xf numFmtId="0" fontId="15" fillId="0" borderId="0" xfId="0" applyFont="1" applyAlignment="1">
      <alignment horizontal="center" vertical="center"/>
    </xf>
    <xf numFmtId="0" fontId="3" fillId="0" borderId="0" xfId="0" applyFont="1" applyAlignment="1">
      <alignment horizontal="center" vertical="center" textRotation="90" wrapText="1"/>
    </xf>
    <xf numFmtId="3" fontId="3" fillId="0" borderId="0" xfId="0" applyNumberFormat="1" applyFont="1" applyAlignment="1">
      <alignment horizontal="center" vertical="center"/>
    </xf>
    <xf numFmtId="0" fontId="5" fillId="4" borderId="1" xfId="0" applyFont="1" applyFill="1" applyBorder="1" applyAlignment="1">
      <alignment horizontal="right" vertical="center"/>
    </xf>
    <xf numFmtId="0" fontId="3" fillId="4" borderId="1" xfId="0" applyFont="1" applyFill="1" applyBorder="1" applyAlignment="1">
      <alignment horizontal="left" vertical="center"/>
    </xf>
    <xf numFmtId="1" fontId="0" fillId="0" borderId="0" xfId="0" applyNumberFormat="1" applyAlignment="1">
      <alignment horizontal="center"/>
    </xf>
    <xf numFmtId="0" fontId="3" fillId="6" borderId="7" xfId="0" applyFont="1" applyFill="1" applyBorder="1" applyAlignment="1">
      <alignment horizontal="center" vertical="center"/>
    </xf>
    <xf numFmtId="0" fontId="3" fillId="6" borderId="8" xfId="0" applyFont="1" applyFill="1" applyBorder="1" applyAlignment="1">
      <alignment horizontal="center" vertical="center"/>
    </xf>
    <xf numFmtId="0" fontId="3" fillId="6" borderId="7" xfId="0" applyFont="1" applyFill="1" applyBorder="1" applyAlignment="1">
      <alignment vertical="center"/>
    </xf>
    <xf numFmtId="4" fontId="3" fillId="6" borderId="8" xfId="0" applyNumberFormat="1" applyFont="1" applyFill="1" applyBorder="1" applyAlignment="1">
      <alignment vertical="center"/>
    </xf>
    <xf numFmtId="0" fontId="3" fillId="6" borderId="9" xfId="0" applyFont="1" applyFill="1" applyBorder="1" applyAlignment="1">
      <alignment vertical="center"/>
    </xf>
    <xf numFmtId="4" fontId="3" fillId="6" borderId="10" xfId="0" applyNumberFormat="1" applyFont="1" applyFill="1" applyBorder="1" applyAlignment="1">
      <alignment vertical="center"/>
    </xf>
    <xf numFmtId="0" fontId="5" fillId="3" borderId="3" xfId="0" applyFont="1" applyFill="1" applyBorder="1" applyAlignment="1">
      <alignment horizontal="right" vertical="center"/>
    </xf>
    <xf numFmtId="171" fontId="3" fillId="6" borderId="13" xfId="0" applyNumberFormat="1" applyFont="1" applyFill="1" applyBorder="1" applyAlignment="1">
      <alignment vertical="center"/>
    </xf>
    <xf numFmtId="1" fontId="3" fillId="0" borderId="3" xfId="0" applyNumberFormat="1" applyFont="1" applyBorder="1" applyAlignment="1">
      <alignment vertical="center"/>
    </xf>
    <xf numFmtId="2" fontId="3" fillId="6" borderId="0" xfId="0" applyNumberFormat="1" applyFont="1" applyFill="1" applyAlignment="1">
      <alignment horizontal="center" vertical="center"/>
    </xf>
    <xf numFmtId="0" fontId="18" fillId="0" borderId="0" xfId="0" applyFont="1" applyAlignment="1">
      <alignment vertical="center" wrapText="1"/>
    </xf>
    <xf numFmtId="0" fontId="3" fillId="8" borderId="0" xfId="0" applyFont="1" applyFill="1" applyAlignment="1">
      <alignment horizontal="center" vertical="center"/>
    </xf>
    <xf numFmtId="2" fontId="0" fillId="0" borderId="0" xfId="0" applyNumberFormat="1" applyAlignment="1">
      <alignment horizontal="center"/>
    </xf>
    <xf numFmtId="2" fontId="0" fillId="0" borderId="0" xfId="0" applyNumberFormat="1" applyAlignment="1">
      <alignment horizontal="center" vertical="center"/>
    </xf>
    <xf numFmtId="168" fontId="0" fillId="0" borderId="0" xfId="0" quotePrefix="1" applyNumberFormat="1" applyAlignment="1">
      <alignment horizontal="center"/>
    </xf>
    <xf numFmtId="167" fontId="0" fillId="0" borderId="0" xfId="0" applyNumberFormat="1" applyAlignment="1">
      <alignment horizontal="center"/>
    </xf>
    <xf numFmtId="167" fontId="0" fillId="0" borderId="0" xfId="0" quotePrefix="1" applyNumberFormat="1" applyAlignment="1">
      <alignment horizontal="center"/>
    </xf>
    <xf numFmtId="167" fontId="0" fillId="7" borderId="14" xfId="0" applyNumberFormat="1" applyFill="1" applyBorder="1" applyAlignment="1">
      <alignment horizontal="center"/>
    </xf>
    <xf numFmtId="0" fontId="0" fillId="7" borderId="14" xfId="0" applyFill="1" applyBorder="1" applyAlignment="1">
      <alignment horizontal="center"/>
    </xf>
    <xf numFmtId="168" fontId="0" fillId="0" borderId="0" xfId="0" applyNumberFormat="1" applyAlignment="1">
      <alignment horizontal="center"/>
    </xf>
    <xf numFmtId="0" fontId="1" fillId="6" borderId="0" xfId="0" applyFont="1" applyFill="1" applyAlignment="1">
      <alignment horizontal="center" vertical="center"/>
    </xf>
    <xf numFmtId="0" fontId="3" fillId="6" borderId="0" xfId="0" applyFont="1" applyFill="1" applyAlignment="1">
      <alignment horizontal="center" vertical="top"/>
    </xf>
    <xf numFmtId="0" fontId="3" fillId="8" borderId="13" xfId="0" applyFont="1" applyFill="1" applyBorder="1" applyAlignment="1">
      <alignment horizontal="center" vertical="center"/>
    </xf>
    <xf numFmtId="0" fontId="0" fillId="0" borderId="0" xfId="0" applyAlignment="1">
      <alignment horizontal="center" vertical="center"/>
    </xf>
    <xf numFmtId="1" fontId="0" fillId="0" borderId="0" xfId="0" applyNumberFormat="1" applyAlignment="1">
      <alignment horizontal="center" vertical="center"/>
    </xf>
    <xf numFmtId="167" fontId="0" fillId="0" borderId="0" xfId="0" applyNumberFormat="1" applyAlignment="1">
      <alignment horizontal="center" vertical="center"/>
    </xf>
    <xf numFmtId="0" fontId="3" fillId="0" borderId="12" xfId="0" applyFont="1" applyBorder="1" applyAlignment="1">
      <alignment horizontal="right" vertical="center"/>
    </xf>
    <xf numFmtId="1" fontId="3" fillId="6" borderId="16" xfId="0" applyNumberFormat="1" applyFont="1" applyFill="1" applyBorder="1" applyAlignment="1">
      <alignment horizontal="center" vertical="center"/>
    </xf>
    <xf numFmtId="0" fontId="27" fillId="0" borderId="0" xfId="0" applyFont="1" applyAlignment="1">
      <alignment horizontal="right" vertical="center"/>
    </xf>
    <xf numFmtId="0" fontId="9" fillId="0" borderId="0" xfId="0" applyFont="1" applyAlignment="1">
      <alignment horizontal="right" vertical="center"/>
    </xf>
    <xf numFmtId="0" fontId="15" fillId="6" borderId="0" xfId="0" applyFont="1" applyFill="1" applyAlignment="1">
      <alignment vertical="center"/>
    </xf>
    <xf numFmtId="0" fontId="15" fillId="6" borderId="13" xfId="0" applyFont="1" applyFill="1" applyBorder="1" applyAlignment="1">
      <alignment horizontal="center" vertical="center"/>
    </xf>
    <xf numFmtId="0" fontId="15" fillId="6" borderId="0" xfId="0" applyFont="1" applyFill="1" applyAlignment="1">
      <alignment horizontal="center" vertical="center"/>
    </xf>
    <xf numFmtId="166" fontId="15" fillId="6" borderId="0" xfId="0" applyNumberFormat="1" applyFont="1" applyFill="1" applyAlignment="1">
      <alignment horizontal="center" vertical="center"/>
    </xf>
    <xf numFmtId="0" fontId="0" fillId="0" borderId="20" xfId="0" applyBorder="1" applyAlignment="1">
      <alignment horizontal="right" vertical="center"/>
    </xf>
    <xf numFmtId="173" fontId="0" fillId="0" borderId="21" xfId="0" applyNumberFormat="1" applyBorder="1" applyAlignment="1">
      <alignment horizontal="center"/>
    </xf>
    <xf numFmtId="0" fontId="0" fillId="0" borderId="22" xfId="0" applyBorder="1" applyAlignment="1">
      <alignment horizontal="right" vertical="center"/>
    </xf>
    <xf numFmtId="0" fontId="0" fillId="10" borderId="23" xfId="0" applyFill="1" applyBorder="1" applyAlignment="1">
      <alignment horizontal="center"/>
    </xf>
    <xf numFmtId="173" fontId="0" fillId="10" borderId="14" xfId="0" applyNumberFormat="1" applyFill="1" applyBorder="1" applyAlignment="1">
      <alignment horizontal="center"/>
    </xf>
    <xf numFmtId="173" fontId="0" fillId="0" borderId="24" xfId="0" applyNumberFormat="1" applyBorder="1" applyAlignment="1">
      <alignment horizontal="center"/>
    </xf>
    <xf numFmtId="0" fontId="0" fillId="0" borderId="24" xfId="0" applyBorder="1" applyAlignment="1">
      <alignment horizontal="center"/>
    </xf>
    <xf numFmtId="0" fontId="0" fillId="0" borderId="25" xfId="0" applyBorder="1" applyAlignment="1">
      <alignment horizontal="right" vertical="center"/>
    </xf>
    <xf numFmtId="0" fontId="0" fillId="0" borderId="26" xfId="0" applyBorder="1" applyAlignment="1">
      <alignment horizontal="center"/>
    </xf>
    <xf numFmtId="0" fontId="29" fillId="9" borderId="17" xfId="0" applyFont="1" applyFill="1" applyBorder="1" applyAlignment="1">
      <alignment horizontal="center" vertical="center"/>
    </xf>
    <xf numFmtId="168" fontId="0" fillId="0" borderId="0" xfId="0" quotePrefix="1" applyNumberFormat="1" applyAlignment="1">
      <alignment horizontal="center" vertical="center"/>
    </xf>
    <xf numFmtId="167" fontId="0" fillId="0" borderId="0" xfId="0" quotePrefix="1" applyNumberFormat="1" applyAlignment="1">
      <alignment horizontal="center" vertical="center"/>
    </xf>
    <xf numFmtId="0" fontId="0" fillId="0" borderId="0" xfId="0" applyAlignment="1">
      <alignment horizontal="right" vertical="center" indent="1"/>
    </xf>
    <xf numFmtId="0" fontId="9" fillId="0" borderId="13" xfId="0" applyFont="1" applyBorder="1" applyAlignment="1" applyProtection="1">
      <alignment horizontal="center" vertical="center"/>
      <protection locked="0"/>
    </xf>
    <xf numFmtId="174" fontId="9" fillId="0" borderId="0" xfId="0" applyNumberFormat="1" applyFont="1" applyAlignment="1">
      <alignment horizontal="right" vertical="center"/>
    </xf>
    <xf numFmtId="174" fontId="9" fillId="0" borderId="0" xfId="0" applyNumberFormat="1" applyFont="1" applyAlignment="1">
      <alignment vertical="center"/>
    </xf>
    <xf numFmtId="0" fontId="9" fillId="6" borderId="0" xfId="0" applyFont="1" applyFill="1" applyAlignment="1">
      <alignment horizontal="right" vertical="center"/>
    </xf>
    <xf numFmtId="0" fontId="9" fillId="6" borderId="0" xfId="0" applyFont="1" applyFill="1" applyAlignment="1">
      <alignment horizontal="center" vertical="center"/>
    </xf>
    <xf numFmtId="0" fontId="3" fillId="0" borderId="0" xfId="0" quotePrefix="1" applyFont="1" applyAlignment="1">
      <alignment vertical="center"/>
    </xf>
    <xf numFmtId="0" fontId="3" fillId="0" borderId="1" xfId="0" applyFont="1" applyBorder="1" applyAlignment="1" applyProtection="1">
      <alignment vertical="center"/>
      <protection locked="0"/>
    </xf>
    <xf numFmtId="0" fontId="0" fillId="0" borderId="13" xfId="0" applyBorder="1" applyAlignment="1" applyProtection="1">
      <alignment horizontal="center" vertical="center"/>
      <protection locked="0"/>
    </xf>
    <xf numFmtId="0" fontId="0" fillId="0" borderId="13" xfId="0" applyBorder="1" applyAlignment="1">
      <alignment horizontal="center" vertical="center"/>
    </xf>
    <xf numFmtId="0" fontId="0" fillId="0" borderId="0" xfId="0" applyAlignment="1">
      <alignment horizontal="left" vertical="center"/>
    </xf>
    <xf numFmtId="0" fontId="3" fillId="6" borderId="27" xfId="0" applyFont="1" applyFill="1" applyBorder="1" applyAlignment="1">
      <alignment horizontal="center" vertical="center"/>
    </xf>
    <xf numFmtId="0" fontId="3" fillId="6" borderId="28" xfId="0" applyFont="1" applyFill="1" applyBorder="1" applyAlignment="1">
      <alignment horizontal="center" vertical="center"/>
    </xf>
    <xf numFmtId="0" fontId="3" fillId="6" borderId="29" xfId="0" applyFont="1" applyFill="1" applyBorder="1" applyAlignment="1">
      <alignment horizontal="center" vertical="center"/>
    </xf>
    <xf numFmtId="168" fontId="15" fillId="0" borderId="0" xfId="0" applyNumberFormat="1" applyFont="1" applyAlignment="1">
      <alignment horizontal="right" vertical="center"/>
    </xf>
    <xf numFmtId="0" fontId="27" fillId="0" borderId="0" xfId="0" applyFont="1" applyAlignment="1">
      <alignment vertical="center" wrapText="1"/>
    </xf>
    <xf numFmtId="0" fontId="29" fillId="9" borderId="18" xfId="0" applyFont="1" applyFill="1" applyBorder="1" applyAlignment="1">
      <alignment horizontal="center" vertical="center"/>
    </xf>
    <xf numFmtId="0" fontId="29" fillId="9" borderId="19" xfId="0" applyFont="1" applyFill="1" applyBorder="1" applyAlignment="1">
      <alignment horizontal="center" vertical="center"/>
    </xf>
    <xf numFmtId="0" fontId="15" fillId="0" borderId="0" xfId="0" applyFont="1" applyAlignment="1">
      <alignment horizontal="left" vertical="center" wrapText="1"/>
    </xf>
    <xf numFmtId="0" fontId="15" fillId="0" borderId="0" xfId="0" applyFont="1" applyAlignment="1">
      <alignment horizontal="left" vertical="top" wrapText="1"/>
    </xf>
    <xf numFmtId="2" fontId="3" fillId="0" borderId="0" xfId="0" applyNumberFormat="1" applyFont="1" applyAlignment="1">
      <alignment horizontal="right" vertical="center"/>
    </xf>
    <xf numFmtId="4" fontId="3" fillId="0" borderId="1" xfId="0" applyNumberFormat="1" applyFont="1" applyBorder="1" applyAlignment="1" applyProtection="1">
      <alignment horizontal="right" vertical="center"/>
      <protection locked="0"/>
    </xf>
    <xf numFmtId="4" fontId="3" fillId="0" borderId="2" xfId="0" applyNumberFormat="1" applyFont="1" applyBorder="1" applyAlignment="1" applyProtection="1">
      <alignment horizontal="right" vertical="center"/>
      <protection locked="0"/>
    </xf>
    <xf numFmtId="3" fontId="3" fillId="0" borderId="2" xfId="0" applyNumberFormat="1" applyFont="1" applyBorder="1" applyAlignment="1" applyProtection="1">
      <alignment horizontal="right" vertical="center"/>
      <protection locked="0"/>
    </xf>
    <xf numFmtId="3" fontId="3" fillId="0" borderId="2" xfId="0" applyNumberFormat="1" applyFont="1" applyBorder="1" applyAlignment="1" applyProtection="1">
      <alignment horizontal="right" vertical="center"/>
      <protection hidden="1"/>
    </xf>
    <xf numFmtId="0" fontId="3" fillId="0" borderId="0" xfId="0" applyFont="1" applyAlignment="1">
      <alignment horizontal="center" vertical="center"/>
    </xf>
    <xf numFmtId="3" fontId="3" fillId="0" borderId="1" xfId="0" applyNumberFormat="1" applyFont="1" applyBorder="1" applyAlignment="1" applyProtection="1">
      <alignment horizontal="right" vertical="center"/>
      <protection locked="0"/>
    </xf>
    <xf numFmtId="2" fontId="3" fillId="0" borderId="2" xfId="0" applyNumberFormat="1" applyFont="1" applyBorder="1" applyAlignment="1" applyProtection="1">
      <alignment horizontal="right" vertical="center"/>
      <protection locked="0"/>
    </xf>
    <xf numFmtId="2" fontId="3" fillId="0" borderId="1" xfId="0" applyNumberFormat="1" applyFont="1" applyBorder="1" applyAlignment="1" applyProtection="1">
      <alignment horizontal="right" vertical="center"/>
      <protection locked="0"/>
    </xf>
    <xf numFmtId="175" fontId="3" fillId="0" borderId="1" xfId="0" applyNumberFormat="1" applyFont="1" applyBorder="1" applyAlignment="1" applyProtection="1">
      <alignment horizontal="right" vertical="center"/>
      <protection locked="0"/>
    </xf>
    <xf numFmtId="172" fontId="3" fillId="0" borderId="1" xfId="0" applyNumberFormat="1" applyFont="1" applyBorder="1" applyAlignment="1" applyProtection="1">
      <alignment horizontal="center" vertical="center"/>
      <protection locked="0"/>
    </xf>
    <xf numFmtId="0" fontId="3" fillId="6" borderId="15" xfId="0" applyFont="1" applyFill="1" applyBorder="1" applyAlignment="1">
      <alignment horizontal="left" vertical="center"/>
    </xf>
    <xf numFmtId="0" fontId="3" fillId="6" borderId="16" xfId="0" applyFont="1" applyFill="1" applyBorder="1" applyAlignment="1">
      <alignment horizontal="left" vertical="center"/>
    </xf>
    <xf numFmtId="164" fontId="3" fillId="0" borderId="1" xfId="0" applyNumberFormat="1" applyFont="1" applyBorder="1" applyAlignment="1" applyProtection="1">
      <alignment horizontal="center" vertical="center"/>
      <protection hidden="1"/>
    </xf>
    <xf numFmtId="0" fontId="3" fillId="0" borderId="2" xfId="0" applyFont="1" applyBorder="1" applyAlignment="1" applyProtection="1">
      <alignment horizontal="center" vertical="center"/>
      <protection hidden="1"/>
    </xf>
    <xf numFmtId="0" fontId="3" fillId="0" borderId="1" xfId="0" applyFont="1" applyBorder="1" applyAlignment="1" applyProtection="1">
      <alignment horizontal="left" vertical="center"/>
      <protection hidden="1"/>
    </xf>
    <xf numFmtId="0" fontId="3" fillId="0" borderId="0" xfId="0" applyFont="1" applyAlignment="1">
      <alignment horizontal="center" vertical="center" wrapText="1"/>
    </xf>
    <xf numFmtId="0" fontId="3" fillId="0" borderId="0" xfId="0" applyFont="1" applyAlignment="1">
      <alignment horizontal="right" vertical="center"/>
    </xf>
    <xf numFmtId="0" fontId="3" fillId="0" borderId="0" xfId="0" applyFont="1" applyAlignment="1">
      <alignment horizontal="center" vertical="center" textRotation="90" wrapText="1"/>
    </xf>
    <xf numFmtId="169" fontId="3" fillId="0" borderId="2" xfId="0" applyNumberFormat="1" applyFont="1" applyBorder="1" applyAlignment="1" applyProtection="1">
      <alignment horizontal="left" vertical="center"/>
      <protection locked="0"/>
    </xf>
    <xf numFmtId="0" fontId="3" fillId="0" borderId="5" xfId="0" applyFont="1" applyBorder="1" applyAlignment="1" applyProtection="1">
      <alignment horizontal="left" vertical="top" wrapText="1"/>
      <protection locked="0"/>
    </xf>
    <xf numFmtId="0" fontId="3" fillId="0" borderId="3" xfId="0" applyFont="1" applyBorder="1" applyAlignment="1" applyProtection="1">
      <alignment horizontal="left" vertical="top" wrapText="1"/>
      <protection locked="0"/>
    </xf>
    <xf numFmtId="0" fontId="3" fillId="0" borderId="6" xfId="0" applyFont="1" applyBorder="1" applyAlignment="1" applyProtection="1">
      <alignment horizontal="left" vertical="top" wrapText="1"/>
      <protection locked="0"/>
    </xf>
    <xf numFmtId="0" fontId="3" fillId="0" borderId="7"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3" fillId="0" borderId="10" xfId="0" applyFont="1" applyBorder="1" applyAlignment="1" applyProtection="1">
      <alignment horizontal="left" vertical="top" wrapText="1"/>
      <protection locked="0"/>
    </xf>
    <xf numFmtId="0" fontId="3" fillId="0" borderId="2" xfId="0" applyFont="1" applyBorder="1" applyAlignment="1" applyProtection="1">
      <alignment horizontal="left" vertical="center"/>
      <protection locked="0"/>
    </xf>
    <xf numFmtId="167" fontId="18" fillId="0" borderId="0" xfId="0" applyNumberFormat="1" applyFont="1" applyAlignment="1">
      <alignment horizontal="left" vertical="center"/>
    </xf>
    <xf numFmtId="0" fontId="3" fillId="6" borderId="15" xfId="0" applyFont="1" applyFill="1" applyBorder="1" applyAlignment="1">
      <alignment horizontal="center" vertical="center"/>
    </xf>
    <xf numFmtId="0" fontId="3" fillId="6" borderId="16" xfId="0" applyFont="1" applyFill="1" applyBorder="1" applyAlignment="1">
      <alignment horizontal="center" vertical="center"/>
    </xf>
    <xf numFmtId="0" fontId="3" fillId="0" borderId="1" xfId="0" applyFont="1" applyBorder="1" applyAlignment="1" applyProtection="1">
      <alignment horizontal="left" vertical="center"/>
      <protection locked="0"/>
    </xf>
    <xf numFmtId="0" fontId="3" fillId="0" borderId="0" xfId="0" applyFont="1" applyAlignment="1" applyProtection="1">
      <alignment horizontal="center" vertical="center"/>
      <protection locked="0"/>
    </xf>
    <xf numFmtId="0" fontId="3" fillId="0" borderId="0" xfId="0" applyFont="1" applyAlignment="1" applyProtection="1">
      <alignment horizontal="right" vertical="center"/>
      <protection locked="0"/>
    </xf>
    <xf numFmtId="0" fontId="3" fillId="0" borderId="1" xfId="0" applyFont="1" applyBorder="1" applyAlignment="1" applyProtection="1">
      <alignment horizontal="center" vertical="center"/>
      <protection locked="0"/>
    </xf>
    <xf numFmtId="4" fontId="3" fillId="0" borderId="1" xfId="0" applyNumberFormat="1" applyFont="1" applyBorder="1" applyAlignment="1" applyProtection="1">
      <alignment horizontal="right" vertical="center"/>
      <protection hidden="1"/>
    </xf>
    <xf numFmtId="164" fontId="3" fillId="0" borderId="1" xfId="0" applyNumberFormat="1"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4" fontId="3" fillId="0" borderId="1" xfId="0" quotePrefix="1" applyNumberFormat="1" applyFont="1" applyBorder="1" applyAlignment="1" applyProtection="1">
      <alignment horizontal="right" vertical="center"/>
      <protection locked="0"/>
    </xf>
    <xf numFmtId="0" fontId="3" fillId="0" borderId="0" xfId="0" applyFont="1" applyAlignment="1">
      <alignment horizontal="left" vertical="center"/>
    </xf>
    <xf numFmtId="171" fontId="3" fillId="0" borderId="1" xfId="0" applyNumberFormat="1" applyFont="1" applyBorder="1" applyAlignment="1" applyProtection="1">
      <alignment horizontal="right" vertical="center"/>
      <protection hidden="1"/>
    </xf>
    <xf numFmtId="0" fontId="0" fillId="0" borderId="0" xfId="0" applyAlignment="1">
      <alignment horizontal="left" vertical="center" wrapText="1"/>
    </xf>
    <xf numFmtId="0" fontId="3" fillId="0" borderId="1" xfId="0" applyFont="1" applyBorder="1" applyAlignment="1" applyProtection="1">
      <alignment horizontal="right" vertical="center"/>
      <protection locked="0"/>
    </xf>
    <xf numFmtId="0" fontId="28" fillId="0" borderId="1" xfId="1" applyFont="1" applyBorder="1" applyAlignment="1" applyProtection="1">
      <alignment horizontal="left" vertical="center"/>
      <protection locked="0"/>
    </xf>
    <xf numFmtId="1" fontId="3" fillId="0" borderId="1" xfId="0" applyNumberFormat="1" applyFont="1" applyBorder="1" applyAlignment="1" applyProtection="1">
      <alignment horizontal="right" vertical="center"/>
      <protection locked="0"/>
    </xf>
    <xf numFmtId="165" fontId="3" fillId="0" borderId="1" xfId="0" applyNumberFormat="1" applyFont="1" applyBorder="1" applyAlignment="1" applyProtection="1">
      <alignment horizontal="right" vertical="center"/>
      <protection locked="0"/>
    </xf>
    <xf numFmtId="0" fontId="14" fillId="0" borderId="0" xfId="0" applyFont="1" applyAlignment="1">
      <alignment horizontal="left" vertical="center"/>
    </xf>
    <xf numFmtId="3" fontId="3" fillId="0" borderId="2" xfId="0" applyNumberFormat="1" applyFont="1" applyBorder="1" applyAlignment="1">
      <alignment horizontal="right" vertical="center"/>
    </xf>
    <xf numFmtId="1" fontId="3" fillId="0" borderId="2" xfId="0" applyNumberFormat="1" applyFont="1" applyBorder="1" applyAlignment="1" applyProtection="1">
      <alignment horizontal="right" vertical="center"/>
      <protection locked="0"/>
    </xf>
    <xf numFmtId="0" fontId="2" fillId="0" borderId="0" xfId="0" applyFont="1" applyAlignment="1">
      <alignment horizontal="center" vertical="center" wrapText="1"/>
    </xf>
    <xf numFmtId="4" fontId="3" fillId="0" borderId="4" xfId="0" applyNumberFormat="1" applyFont="1" applyBorder="1" applyAlignment="1" applyProtection="1">
      <alignment horizontal="right" vertical="center"/>
      <protection locked="0"/>
    </xf>
    <xf numFmtId="172" fontId="3" fillId="0" borderId="1" xfId="0" applyNumberFormat="1" applyFont="1" applyBorder="1" applyAlignment="1">
      <alignment horizontal="center" vertical="center"/>
    </xf>
    <xf numFmtId="4" fontId="3" fillId="0" borderId="2" xfId="0" applyNumberFormat="1" applyFont="1" applyBorder="1" applyAlignment="1" applyProtection="1">
      <alignment vertical="center"/>
      <protection locked="0"/>
    </xf>
    <xf numFmtId="0" fontId="18" fillId="0" borderId="0" xfId="0" applyFont="1" applyAlignment="1">
      <alignment horizontal="center" vertical="center" wrapText="1"/>
    </xf>
    <xf numFmtId="2" fontId="3" fillId="0" borderId="1" xfId="0" applyNumberFormat="1" applyFont="1" applyBorder="1" applyAlignment="1">
      <alignment horizontal="right" vertical="center"/>
    </xf>
    <xf numFmtId="0" fontId="3" fillId="0" borderId="1" xfId="0" applyFont="1" applyBorder="1" applyAlignment="1">
      <alignment horizontal="right" vertical="center"/>
    </xf>
    <xf numFmtId="0" fontId="3" fillId="0" borderId="1" xfId="0" applyFont="1" applyBorder="1" applyAlignment="1">
      <alignment horizontal="left" vertical="center"/>
    </xf>
    <xf numFmtId="2" fontId="3" fillId="0" borderId="2" xfId="0" applyNumberFormat="1" applyFont="1" applyBorder="1" applyAlignment="1" applyProtection="1">
      <alignment horizontal="right" vertical="center"/>
      <protection hidden="1"/>
    </xf>
    <xf numFmtId="2" fontId="3" fillId="0" borderId="2" xfId="0" applyNumberFormat="1" applyFont="1" applyBorder="1" applyAlignment="1">
      <alignment horizontal="right" vertical="center"/>
    </xf>
    <xf numFmtId="3" fontId="3" fillId="0" borderId="1" xfId="0" applyNumberFormat="1" applyFont="1" applyBorder="1" applyAlignment="1">
      <alignment horizontal="right" vertical="center"/>
    </xf>
    <xf numFmtId="4" fontId="3" fillId="0" borderId="2" xfId="0" applyNumberFormat="1" applyFont="1" applyBorder="1" applyAlignment="1" applyProtection="1">
      <alignment horizontal="right" vertical="center"/>
      <protection hidden="1"/>
    </xf>
    <xf numFmtId="4" fontId="3" fillId="0" borderId="1" xfId="0" applyNumberFormat="1" applyFont="1" applyBorder="1" applyAlignment="1">
      <alignment horizontal="right" vertical="center"/>
    </xf>
    <xf numFmtId="0" fontId="18" fillId="0" borderId="3" xfId="0" applyFont="1" applyBorder="1" applyAlignment="1">
      <alignment horizontal="center" vertical="center" wrapText="1"/>
    </xf>
    <xf numFmtId="4" fontId="3" fillId="0" borderId="2" xfId="0" applyNumberFormat="1" applyFont="1" applyBorder="1" applyAlignment="1">
      <alignment horizontal="right" vertical="center"/>
    </xf>
    <xf numFmtId="0" fontId="9" fillId="4" borderId="0" xfId="0" applyFont="1" applyFill="1" applyAlignment="1">
      <alignment horizontal="left" vertical="center"/>
    </xf>
    <xf numFmtId="0" fontId="11" fillId="0" borderId="2" xfId="1" applyBorder="1" applyAlignment="1" applyProtection="1">
      <alignment horizontal="left" vertical="center"/>
      <protection locked="0"/>
    </xf>
    <xf numFmtId="4" fontId="3" fillId="0" borderId="1" xfId="0" applyNumberFormat="1" applyFont="1" applyBorder="1" applyAlignment="1" applyProtection="1">
      <alignment vertical="center"/>
      <protection locked="0"/>
    </xf>
    <xf numFmtId="0" fontId="3" fillId="0" borderId="0" xfId="0" applyFont="1" applyAlignment="1">
      <alignment horizontal="left" vertical="top" wrapText="1"/>
    </xf>
    <xf numFmtId="0" fontId="3" fillId="0" borderId="2" xfId="0" applyFont="1" applyBorder="1" applyAlignment="1">
      <alignment horizontal="right" vertical="center"/>
    </xf>
    <xf numFmtId="0" fontId="3" fillId="0" borderId="2" xfId="0" applyFont="1" applyBorder="1" applyAlignment="1" applyProtection="1">
      <alignment horizontal="left" vertical="center"/>
      <protection hidden="1"/>
    </xf>
    <xf numFmtId="165" fontId="3" fillId="0" borderId="1" xfId="0" applyNumberFormat="1" applyFont="1" applyBorder="1" applyAlignment="1" applyProtection="1">
      <alignment horizontal="right" vertical="center"/>
      <protection hidden="1"/>
    </xf>
    <xf numFmtId="175" fontId="3" fillId="0" borderId="2" xfId="0" applyNumberFormat="1" applyFont="1" applyBorder="1" applyAlignment="1" applyProtection="1">
      <alignment horizontal="right" vertical="center"/>
      <protection hidden="1"/>
    </xf>
    <xf numFmtId="2" fontId="3" fillId="0" borderId="1" xfId="0" applyNumberFormat="1" applyFont="1" applyBorder="1" applyAlignment="1" applyProtection="1">
      <alignment horizontal="right" vertical="center"/>
      <protection hidden="1"/>
    </xf>
    <xf numFmtId="164" fontId="3" fillId="0" borderId="2" xfId="0" applyNumberFormat="1" applyFont="1" applyBorder="1" applyAlignment="1" applyProtection="1">
      <alignment horizontal="center" vertical="center"/>
      <protection locked="0"/>
    </xf>
    <xf numFmtId="0" fontId="3" fillId="0" borderId="2" xfId="0" applyFont="1" applyBorder="1" applyAlignment="1">
      <alignment horizontal="left" vertical="center"/>
    </xf>
    <xf numFmtId="169" fontId="3" fillId="0" borderId="1" xfId="0" applyNumberFormat="1" applyFont="1" applyBorder="1" applyAlignment="1" applyProtection="1">
      <alignment horizontal="center" vertical="center"/>
      <protection locked="0"/>
    </xf>
    <xf numFmtId="0" fontId="3" fillId="0" borderId="2" xfId="0" applyFont="1" applyBorder="1" applyAlignment="1">
      <alignment horizontal="center" vertical="center"/>
    </xf>
    <xf numFmtId="1" fontId="3" fillId="0" borderId="1" xfId="0" applyNumberFormat="1" applyFont="1" applyBorder="1" applyAlignment="1">
      <alignment horizontal="right" vertical="center"/>
    </xf>
    <xf numFmtId="0" fontId="9" fillId="3" borderId="0" xfId="0" applyFont="1" applyFill="1" applyAlignment="1">
      <alignment horizontal="left" vertical="center"/>
    </xf>
    <xf numFmtId="0" fontId="3" fillId="0" borderId="3" xfId="0" applyFont="1" applyBorder="1" applyAlignment="1">
      <alignment horizontal="center" vertical="center"/>
    </xf>
    <xf numFmtId="0" fontId="3" fillId="0" borderId="1" xfId="0" applyFont="1" applyBorder="1" applyAlignment="1">
      <alignment horizontal="center" vertical="center"/>
    </xf>
    <xf numFmtId="0" fontId="3" fillId="0" borderId="0" xfId="0" quotePrefix="1" applyFont="1" applyAlignment="1">
      <alignment horizontal="center" vertical="center"/>
    </xf>
    <xf numFmtId="3" fontId="3" fillId="0" borderId="1" xfId="0" applyNumberFormat="1" applyFont="1" applyBorder="1" applyAlignment="1" applyProtection="1">
      <alignment horizontal="right" vertical="center"/>
      <protection hidden="1"/>
    </xf>
    <xf numFmtId="175" fontId="3" fillId="0" borderId="2" xfId="0" applyNumberFormat="1" applyFont="1" applyBorder="1" applyAlignment="1" applyProtection="1">
      <alignment horizontal="right" vertical="center"/>
      <protection locked="0"/>
    </xf>
    <xf numFmtId="164" fontId="3" fillId="3" borderId="2" xfId="0" applyNumberFormat="1" applyFont="1" applyFill="1" applyBorder="1" applyAlignment="1">
      <alignment horizontal="left" vertical="center"/>
    </xf>
    <xf numFmtId="170" fontId="3" fillId="0" borderId="1" xfId="0" applyNumberFormat="1" applyFont="1" applyBorder="1" applyAlignment="1" applyProtection="1">
      <alignment horizontal="center" vertical="center"/>
      <protection locked="0"/>
    </xf>
  </cellXfs>
  <cellStyles count="2">
    <cellStyle name="Hyperlink" xfId="1" builtinId="8"/>
    <cellStyle name="Normal" xfId="0" builtinId="0"/>
  </cellStyles>
  <dxfs count="373">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fill>
        <patternFill patternType="none">
          <bgColor auto="1"/>
        </patternFill>
      </fill>
    </dxf>
    <dxf>
      <fill>
        <patternFill>
          <bgColor theme="9" tint="0.59996337778862885"/>
        </patternFill>
      </fill>
    </dxf>
    <dxf>
      <numFmt numFmtId="171" formatCode="#,##0.0000"/>
    </dxf>
    <dxf>
      <numFmt numFmtId="3" formatCode="#,##0"/>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fill>
        <patternFill>
          <bgColor theme="9" tint="0.59996337778862885"/>
        </patternFill>
      </fill>
    </dxf>
    <dxf>
      <fill>
        <patternFill patternType="none">
          <bgColor auto="1"/>
        </patternFill>
      </fill>
    </dxf>
    <dxf>
      <fill>
        <patternFill>
          <bgColor theme="7" tint="0.59996337778862885"/>
        </patternFill>
      </fill>
    </dxf>
    <dxf>
      <fill>
        <patternFill>
          <bgColor theme="5" tint="0.59996337778862885"/>
        </patternFill>
      </fill>
    </dxf>
    <dxf>
      <numFmt numFmtId="3" formatCode="#,##0"/>
    </dxf>
    <dxf>
      <fill>
        <patternFill>
          <bgColor theme="5" tint="0.59996337778862885"/>
        </patternFill>
      </fill>
    </dxf>
    <dxf>
      <numFmt numFmtId="171" formatCode="#,##0.0000"/>
    </dxf>
    <dxf>
      <fill>
        <patternFill>
          <bgColor theme="5"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border>
        <bottom style="thin">
          <color auto="1"/>
        </bottom>
        <vertical/>
        <horizontal/>
      </border>
    </dxf>
    <dxf>
      <fill>
        <patternFill>
          <bgColor theme="9"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fill>
        <patternFill patternType="none">
          <bgColor auto="1"/>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patternType="none">
          <bgColor auto="1"/>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numFmt numFmtId="3" formatCode="#,##0"/>
    </dxf>
    <dxf>
      <numFmt numFmtId="171" formatCode="#,##0.0000"/>
    </dxf>
    <dxf>
      <fill>
        <patternFill>
          <bgColor theme="9" tint="0.59996337778862885"/>
        </patternFill>
      </fill>
    </dxf>
    <dxf>
      <numFmt numFmtId="3" formatCode="#,##0"/>
    </dxf>
    <dxf>
      <numFmt numFmtId="171" formatCode="#,##0.0000"/>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patternType="none">
          <bgColor auto="1"/>
        </patternFill>
      </fill>
    </dxf>
    <dxf>
      <fill>
        <patternFill patternType="none">
          <bgColor auto="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numFmt numFmtId="171" formatCode="#,##0.0000"/>
    </dxf>
    <dxf>
      <numFmt numFmtId="3" formatCode="#,##0"/>
    </dxf>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F0000"/>
        </patternFill>
      </fill>
    </dxf>
    <dxf>
      <font>
        <b/>
        <i val="0"/>
        <color theme="0"/>
      </font>
    </dxf>
    <dxf>
      <fill>
        <patternFill>
          <bgColor theme="9" tint="0.59996337778862885"/>
        </patternFill>
      </fill>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right"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s>
  <tableStyles count="0" defaultTableStyle="TableStyleMedium2" defaultPivotStyle="PivotStyleLight16"/>
  <colors>
    <mruColors>
      <color rgb="FFFFFFCC"/>
      <color rgb="FFFFFF99"/>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worksheet" Target="worksheets/sheet5.xml"/><Relationship Id="rId10"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jpeg"/><Relationship Id="rId2" Type="http://schemas.openxmlformats.org/officeDocument/2006/relationships/image" Target="../media/image3.jpeg"/><Relationship Id="rId1" Type="http://schemas.openxmlformats.org/officeDocument/2006/relationships/image" Target="../media/image2.jpeg"/><Relationship Id="rId6" Type="http://schemas.openxmlformats.org/officeDocument/2006/relationships/image" Target="../media/image7.emf"/><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3" Type="http://schemas.openxmlformats.org/officeDocument/2006/relationships/image" Target="../media/image12.jpg"/><Relationship Id="rId2" Type="http://schemas.openxmlformats.org/officeDocument/2006/relationships/image" Target="../media/image7.emf"/><Relationship Id="rId1" Type="http://schemas.openxmlformats.org/officeDocument/2006/relationships/image" Target="../media/image11.png"/></Relationships>
</file>

<file path=xl/drawings/_rels/drawing3.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1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3.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7</xdr:col>
      <xdr:colOff>122451</xdr:colOff>
      <xdr:row>45</xdr:row>
      <xdr:rowOff>39544</xdr:rowOff>
    </xdr:from>
    <xdr:to>
      <xdr:col>7</xdr:col>
      <xdr:colOff>968906</xdr:colOff>
      <xdr:row>45</xdr:row>
      <xdr:rowOff>763640</xdr:rowOff>
    </xdr:to>
    <xdr:pic>
      <xdr:nvPicPr>
        <xdr:cNvPr id="8" name="Picture 7">
          <a:extLst>
            <a:ext uri="{FF2B5EF4-FFF2-40B4-BE49-F238E27FC236}">
              <a16:creationId xmlns:a16="http://schemas.microsoft.com/office/drawing/2014/main" id="{70F152F3-C505-469E-8B69-356CA57DA2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200931" y="9343564"/>
          <a:ext cx="838835" cy="724096"/>
        </a:xfrm>
        <a:prstGeom prst="rect">
          <a:avLst/>
        </a:prstGeom>
        <a:noFill/>
        <a:ln>
          <a:noFill/>
        </a:ln>
      </xdr:spPr>
    </xdr:pic>
    <xdr:clientData/>
  </xdr:twoCellAnchor>
  <xdr:twoCellAnchor editAs="oneCell">
    <xdr:from>
      <xdr:col>5</xdr:col>
      <xdr:colOff>14255</xdr:colOff>
      <xdr:row>44</xdr:row>
      <xdr:rowOff>15239</xdr:rowOff>
    </xdr:from>
    <xdr:to>
      <xdr:col>5</xdr:col>
      <xdr:colOff>1026160</xdr:colOff>
      <xdr:row>44</xdr:row>
      <xdr:rowOff>801744</xdr:rowOff>
    </xdr:to>
    <xdr:pic>
      <xdr:nvPicPr>
        <xdr:cNvPr id="10" name="Picture 9">
          <a:extLst>
            <a:ext uri="{FF2B5EF4-FFF2-40B4-BE49-F238E27FC236}">
              <a16:creationId xmlns:a16="http://schemas.microsoft.com/office/drawing/2014/main" id="{3B4983CD-53DB-4379-A322-9D8F6469C42A}"/>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3886" b="8178"/>
        <a:stretch>
          <a:fillRect/>
        </a:stretch>
      </xdr:blipFill>
      <xdr:spPr bwMode="auto">
        <a:xfrm>
          <a:off x="6237255" y="11302999"/>
          <a:ext cx="1011905" cy="786505"/>
        </a:xfrm>
        <a:prstGeom prst="rect">
          <a:avLst/>
        </a:prstGeom>
        <a:noFill/>
        <a:ln>
          <a:noFill/>
        </a:ln>
      </xdr:spPr>
    </xdr:pic>
    <xdr:clientData/>
  </xdr:twoCellAnchor>
  <xdr:twoCellAnchor editAs="oneCell">
    <xdr:from>
      <xdr:col>5</xdr:col>
      <xdr:colOff>13476</xdr:colOff>
      <xdr:row>40</xdr:row>
      <xdr:rowOff>32234</xdr:rowOff>
    </xdr:from>
    <xdr:to>
      <xdr:col>5</xdr:col>
      <xdr:colOff>779779</xdr:colOff>
      <xdr:row>41</xdr:row>
      <xdr:rowOff>1377</xdr:rowOff>
    </xdr:to>
    <xdr:pic>
      <xdr:nvPicPr>
        <xdr:cNvPr id="11" name="Picture 10">
          <a:extLst>
            <a:ext uri="{FF2B5EF4-FFF2-40B4-BE49-F238E27FC236}">
              <a16:creationId xmlns:a16="http://schemas.microsoft.com/office/drawing/2014/main" id="{4077AC5B-34F3-43BA-82B7-2D9CB4555CF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236476" y="8028154"/>
          <a:ext cx="773923" cy="774958"/>
        </a:xfrm>
        <a:prstGeom prst="rect">
          <a:avLst/>
        </a:prstGeom>
        <a:ln>
          <a:noFill/>
        </a:ln>
      </xdr:spPr>
    </xdr:pic>
    <xdr:clientData/>
  </xdr:twoCellAnchor>
  <xdr:twoCellAnchor editAs="oneCell">
    <xdr:from>
      <xdr:col>5</xdr:col>
      <xdr:colOff>24396</xdr:colOff>
      <xdr:row>43</xdr:row>
      <xdr:rowOff>15443</xdr:rowOff>
    </xdr:from>
    <xdr:to>
      <xdr:col>5</xdr:col>
      <xdr:colOff>972820</xdr:colOff>
      <xdr:row>44</xdr:row>
      <xdr:rowOff>2917</xdr:rowOff>
    </xdr:to>
    <xdr:pic>
      <xdr:nvPicPr>
        <xdr:cNvPr id="12" name="Picture 11">
          <a:extLst>
            <a:ext uri="{FF2B5EF4-FFF2-40B4-BE49-F238E27FC236}">
              <a16:creationId xmlns:a16="http://schemas.microsoft.com/office/drawing/2014/main" id="{9D7129C9-39DC-4BC2-84EF-13FA6D3AAC6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bwMode="auto">
        <a:xfrm>
          <a:off x="6247396" y="10480243"/>
          <a:ext cx="940804" cy="810434"/>
        </a:xfrm>
        <a:prstGeom prst="rect">
          <a:avLst/>
        </a:prstGeom>
        <a:noFill/>
        <a:ln>
          <a:noFill/>
        </a:ln>
      </xdr:spPr>
    </xdr:pic>
    <xdr:clientData/>
  </xdr:twoCellAnchor>
  <xdr:twoCellAnchor editAs="oneCell">
    <xdr:from>
      <xdr:col>5</xdr:col>
      <xdr:colOff>30604</xdr:colOff>
      <xdr:row>41</xdr:row>
      <xdr:rowOff>11152</xdr:rowOff>
    </xdr:from>
    <xdr:to>
      <xdr:col>5</xdr:col>
      <xdr:colOff>858520</xdr:colOff>
      <xdr:row>42</xdr:row>
      <xdr:rowOff>2469</xdr:rowOff>
    </xdr:to>
    <xdr:pic>
      <xdr:nvPicPr>
        <xdr:cNvPr id="13" name="Picture 12" descr="Logo&#10;&#10;Description automatically generated">
          <a:extLst>
            <a:ext uri="{FF2B5EF4-FFF2-40B4-BE49-F238E27FC236}">
              <a16:creationId xmlns:a16="http://schemas.microsoft.com/office/drawing/2014/main" id="{D5373D23-8748-4E41-9ABE-424021CC2187}"/>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253604" y="8830032"/>
          <a:ext cx="812676" cy="814277"/>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7</xdr:col>
          <xdr:colOff>0</xdr:colOff>
          <xdr:row>38</xdr:row>
          <xdr:rowOff>169769</xdr:rowOff>
        </xdr:from>
        <xdr:to>
          <xdr:col>7</xdr:col>
          <xdr:colOff>1424940</xdr:colOff>
          <xdr:row>40</xdr:row>
          <xdr:rowOff>224</xdr:rowOff>
        </xdr:to>
        <xdr:pic>
          <xdr:nvPicPr>
            <xdr:cNvPr id="14" name="Picture 13">
              <a:extLst>
                <a:ext uri="{FF2B5EF4-FFF2-40B4-BE49-F238E27FC236}">
                  <a16:creationId xmlns:a16="http://schemas.microsoft.com/office/drawing/2014/main" id="{B95C23DE-C582-7E08-C634-C78D831C316B}"/>
                </a:ext>
              </a:extLst>
            </xdr:cNvPr>
            <xdr:cNvPicPr>
              <a:picLocks noChangeAspect="1" noChangeArrowheads="1"/>
              <a:extLst>
                <a:ext uri="{84589F7E-364E-4C9E-8A38-B11213B215E9}">
                  <a14:cameraTool cellRange="Logo" spid="_x0000_s22559"/>
                </a:ext>
              </a:extLst>
            </xdr:cNvPicPr>
          </xdr:nvPicPr>
          <xdr:blipFill>
            <a:blip xmlns:r="http://schemas.openxmlformats.org/officeDocument/2006/relationships" r:embed="rId6"/>
            <a:srcRect/>
            <a:stretch>
              <a:fillRect/>
            </a:stretch>
          </xdr:blipFill>
          <xdr:spPr bwMode="auto">
            <a:xfrm>
              <a:off x="7962900" y="7094444"/>
              <a:ext cx="1428750" cy="819150"/>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5</xdr:col>
      <xdr:colOff>15241</xdr:colOff>
      <xdr:row>45</xdr:row>
      <xdr:rowOff>175260</xdr:rowOff>
    </xdr:from>
    <xdr:to>
      <xdr:col>6</xdr:col>
      <xdr:colOff>19051</xdr:colOff>
      <xdr:row>45</xdr:row>
      <xdr:rowOff>705139</xdr:rowOff>
    </xdr:to>
    <xdr:pic>
      <xdr:nvPicPr>
        <xdr:cNvPr id="2" name="Picture 1">
          <a:extLst>
            <a:ext uri="{FF2B5EF4-FFF2-40B4-BE49-F238E27FC236}">
              <a16:creationId xmlns:a16="http://schemas.microsoft.com/office/drawing/2014/main" id="{A4D6F66C-C82E-46C4-A171-D1982371645D}"/>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t="21267" b="19271"/>
        <a:stretch/>
      </xdr:blipFill>
      <xdr:spPr>
        <a:xfrm>
          <a:off x="6233161" y="12283440"/>
          <a:ext cx="1417320" cy="514639"/>
        </a:xfrm>
        <a:prstGeom prst="rect">
          <a:avLst/>
        </a:prstGeom>
      </xdr:spPr>
    </xdr:pic>
    <xdr:clientData/>
  </xdr:twoCellAnchor>
  <xdr:twoCellAnchor editAs="oneCell">
    <xdr:from>
      <xdr:col>5</xdr:col>
      <xdr:colOff>17780</xdr:colOff>
      <xdr:row>38</xdr:row>
      <xdr:rowOff>165100</xdr:rowOff>
    </xdr:from>
    <xdr:to>
      <xdr:col>5</xdr:col>
      <xdr:colOff>896620</xdr:colOff>
      <xdr:row>40</xdr:row>
      <xdr:rowOff>21631</xdr:rowOff>
    </xdr:to>
    <xdr:pic>
      <xdr:nvPicPr>
        <xdr:cNvPr id="3" name="Picture 2">
          <a:extLst>
            <a:ext uri="{FF2B5EF4-FFF2-40B4-BE49-F238E27FC236}">
              <a16:creationId xmlns:a16="http://schemas.microsoft.com/office/drawing/2014/main" id="{661ED613-68DC-40AB-B231-44EFFA238329}"/>
            </a:ext>
          </a:extLst>
        </xdr:cNvPr>
        <xdr:cNvPicPr>
          <a:picLocks noChangeAspect="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l="1643" t="4177" r="80564" b="40219"/>
        <a:stretch>
          <a:fillRect/>
        </a:stretch>
      </xdr:blipFill>
      <xdr:spPr bwMode="auto">
        <a:xfrm>
          <a:off x="6240780" y="7155180"/>
          <a:ext cx="871220" cy="871896"/>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31</xdr:col>
      <xdr:colOff>167640</xdr:colOff>
      <xdr:row>53</xdr:row>
      <xdr:rowOff>49530</xdr:rowOff>
    </xdr:from>
    <xdr:ext cx="712568" cy="259080"/>
    <xdr:pic>
      <xdr:nvPicPr>
        <xdr:cNvPr id="4" name="Picture 3">
          <a:extLst>
            <a:ext uri="{FF2B5EF4-FFF2-40B4-BE49-F238E27FC236}">
              <a16:creationId xmlns:a16="http://schemas.microsoft.com/office/drawing/2014/main" id="{1C5ACB0A-84DC-4EC6-A890-BADCA8A587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09640" y="8450580"/>
          <a:ext cx="712568" cy="259080"/>
        </a:xfrm>
        <a:prstGeom prst="rect">
          <a:avLst/>
        </a:prstGeom>
      </xdr:spPr>
    </xdr:pic>
    <xdr:clientData/>
  </xdr:oneCellAnchor>
  <xdr:oneCellAnchor>
    <xdr:from>
      <xdr:col>32</xdr:col>
      <xdr:colOff>21590</xdr:colOff>
      <xdr:row>107</xdr:row>
      <xdr:rowOff>76200</xdr:rowOff>
    </xdr:from>
    <xdr:ext cx="712568" cy="259080"/>
    <xdr:pic>
      <xdr:nvPicPr>
        <xdr:cNvPr id="7" name="Picture 6">
          <a:extLst>
            <a:ext uri="{FF2B5EF4-FFF2-40B4-BE49-F238E27FC236}">
              <a16:creationId xmlns:a16="http://schemas.microsoft.com/office/drawing/2014/main" id="{AA3794DE-35E5-4176-BE76-E69E125569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54090" y="16706850"/>
          <a:ext cx="712568" cy="259080"/>
        </a:xfrm>
        <a:prstGeom prst="rect">
          <a:avLst/>
        </a:prstGeom>
      </xdr:spPr>
    </xdr:pic>
    <xdr:clientData/>
  </xdr:oneCellAnchor>
  <xdr:oneCellAnchor>
    <xdr:from>
      <xdr:col>32</xdr:col>
      <xdr:colOff>27940</xdr:colOff>
      <xdr:row>157</xdr:row>
      <xdr:rowOff>50800</xdr:rowOff>
    </xdr:from>
    <xdr:ext cx="712568" cy="259080"/>
    <xdr:pic>
      <xdr:nvPicPr>
        <xdr:cNvPr id="8" name="Picture 7">
          <a:extLst>
            <a:ext uri="{FF2B5EF4-FFF2-40B4-BE49-F238E27FC236}">
              <a16:creationId xmlns:a16="http://schemas.microsoft.com/office/drawing/2014/main" id="{EFBDF929-A5B5-4959-8424-793D04C56A7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60440" y="24930100"/>
          <a:ext cx="712568" cy="259080"/>
        </a:xfrm>
        <a:prstGeom prst="rect">
          <a:avLst/>
        </a:prstGeom>
      </xdr:spPr>
    </xdr:pic>
    <xdr:clientData/>
  </xdr:oneCellAnchor>
  <xdr:oneCellAnchor>
    <xdr:from>
      <xdr:col>31</xdr:col>
      <xdr:colOff>186690</xdr:colOff>
      <xdr:row>210</xdr:row>
      <xdr:rowOff>60960</xdr:rowOff>
    </xdr:from>
    <xdr:ext cx="712568" cy="259080"/>
    <xdr:pic>
      <xdr:nvPicPr>
        <xdr:cNvPr id="9" name="Picture 8">
          <a:extLst>
            <a:ext uri="{FF2B5EF4-FFF2-40B4-BE49-F238E27FC236}">
              <a16:creationId xmlns:a16="http://schemas.microsoft.com/office/drawing/2014/main" id="{3CDA7D7D-448A-4DC6-8931-81A23BA348C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99810" y="33848040"/>
          <a:ext cx="712568" cy="259080"/>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0</xdr:col>
          <xdr:colOff>1</xdr:colOff>
          <xdr:row>0</xdr:row>
          <xdr:rowOff>0</xdr:rowOff>
        </xdr:from>
        <xdr:to>
          <xdr:col>7</xdr:col>
          <xdr:colOff>22226</xdr:colOff>
          <xdr:row>3</xdr:row>
          <xdr:rowOff>169894</xdr:rowOff>
        </xdr:to>
        <xdr:pic>
          <xdr:nvPicPr>
            <xdr:cNvPr id="10" name="Picture 9">
              <a:extLst>
                <a:ext uri="{FF2B5EF4-FFF2-40B4-BE49-F238E27FC236}">
                  <a16:creationId xmlns:a16="http://schemas.microsoft.com/office/drawing/2014/main" id="{B1B9D839-1279-8B78-7FAB-14002F067704}"/>
                </a:ext>
              </a:extLst>
            </xdr:cNvPr>
            <xdr:cNvPicPr>
              <a:picLocks noChangeAspect="1" noChangeArrowheads="1"/>
              <a:extLst>
                <a:ext uri="{84589F7E-364E-4C9E-8A38-B11213B215E9}">
                  <a14:cameraTool cellRange="Logo" spid="_x0000_s15344"/>
                </a:ext>
              </a:extLst>
            </xdr:cNvPicPr>
          </xdr:nvPicPr>
          <xdr:blipFill>
            <a:blip xmlns:r="http://schemas.openxmlformats.org/officeDocument/2006/relationships" r:embed="rId2"/>
            <a:srcRect/>
            <a:stretch>
              <a:fillRect/>
            </a:stretch>
          </xdr:blipFill>
          <xdr:spPr bwMode="auto">
            <a:xfrm>
              <a:off x="1" y="0"/>
              <a:ext cx="1301750" cy="74139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0</xdr:colOff>
          <xdr:row>0</xdr:row>
          <xdr:rowOff>0</xdr:rowOff>
        </xdr:from>
        <xdr:to>
          <xdr:col>53</xdr:col>
          <xdr:colOff>95250</xdr:colOff>
          <xdr:row>3</xdr:row>
          <xdr:rowOff>171069</xdr:rowOff>
        </xdr:to>
        <xdr:pic>
          <xdr:nvPicPr>
            <xdr:cNvPr id="13" name="Picture 12">
              <a:extLst>
                <a:ext uri="{FF2B5EF4-FFF2-40B4-BE49-F238E27FC236}">
                  <a16:creationId xmlns:a16="http://schemas.microsoft.com/office/drawing/2014/main" id="{1F31ED7B-A5E7-96EA-4629-BAEAE044542C}"/>
                </a:ext>
              </a:extLst>
            </xdr:cNvPr>
            <xdr:cNvPicPr>
              <a:picLocks noChangeAspect="1" noChangeArrowheads="1"/>
              <a:extLst>
                <a:ext uri="{84589F7E-364E-4C9E-8A38-B11213B215E9}">
                  <a14:cameraTool cellRange="Logo" spid="_x0000_s15345"/>
                </a:ext>
              </a:extLst>
            </xdr:cNvPicPr>
          </xdr:nvPicPr>
          <xdr:blipFill>
            <a:blip xmlns:r="http://schemas.openxmlformats.org/officeDocument/2006/relationships" r:embed="rId2"/>
            <a:srcRect/>
            <a:stretch>
              <a:fillRect/>
            </a:stretch>
          </xdr:blipFill>
          <xdr:spPr bwMode="auto">
            <a:xfrm>
              <a:off x="15665450" y="0"/>
              <a:ext cx="1308100" cy="753999"/>
            </a:xfrm>
            <a:prstGeom prst="rect">
              <a:avLst/>
            </a:prstGeom>
            <a:noFill/>
            <a:extLst>
              <a:ext uri="{909E8E84-426E-40DD-AFC4-6F175D3DCCD1}">
                <a14:hiddenFill>
                  <a:solidFill>
                    <a:srgbClr val="FFFFFF"/>
                  </a:solidFill>
                </a14:hiddenFill>
              </a:ext>
            </a:extLst>
          </xdr:spPr>
        </xdr:pic>
        <xdr:clientData/>
      </xdr:twoCellAnchor>
    </mc:Choice>
    <mc:Fallback/>
  </mc:AlternateContent>
  <xdr:oneCellAnchor>
    <xdr:from>
      <xdr:col>31</xdr:col>
      <xdr:colOff>151130</xdr:colOff>
      <xdr:row>254</xdr:row>
      <xdr:rowOff>59690</xdr:rowOff>
    </xdr:from>
    <xdr:ext cx="712568" cy="259080"/>
    <xdr:pic>
      <xdr:nvPicPr>
        <xdr:cNvPr id="2" name="Picture 1">
          <a:extLst>
            <a:ext uri="{FF2B5EF4-FFF2-40B4-BE49-F238E27FC236}">
              <a16:creationId xmlns:a16="http://schemas.microsoft.com/office/drawing/2014/main" id="{341CC3D8-F695-42B7-9430-ABBABDC400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93130" y="41709340"/>
          <a:ext cx="712568" cy="259080"/>
        </a:xfrm>
        <a:prstGeom prst="rect">
          <a:avLst/>
        </a:prstGeom>
      </xdr:spPr>
    </xdr:pic>
    <xdr:clientData/>
  </xdr:oneCellAnchor>
  <xdr:twoCellAnchor editAs="oneCell">
    <xdr:from>
      <xdr:col>47</xdr:col>
      <xdr:colOff>65983</xdr:colOff>
      <xdr:row>45</xdr:row>
      <xdr:rowOff>110489</xdr:rowOff>
    </xdr:from>
    <xdr:to>
      <xdr:col>80</xdr:col>
      <xdr:colOff>17780</xdr:colOff>
      <xdr:row>80</xdr:row>
      <xdr:rowOff>131386</xdr:rowOff>
    </xdr:to>
    <xdr:pic>
      <xdr:nvPicPr>
        <xdr:cNvPr id="6" name="Picture 5">
          <a:extLst>
            <a:ext uri="{FF2B5EF4-FFF2-40B4-BE49-F238E27FC236}">
              <a16:creationId xmlns:a16="http://schemas.microsoft.com/office/drawing/2014/main" id="{BCC93712-E70B-4A04-AC14-81889890FCBE}"/>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4139" t="3927" r="7428" b="7645"/>
        <a:stretch/>
      </xdr:blipFill>
      <xdr:spPr>
        <a:xfrm>
          <a:off x="7177983" y="7438389"/>
          <a:ext cx="6319577" cy="52050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33</xdr:col>
      <xdr:colOff>133985</xdr:colOff>
      <xdr:row>54</xdr:row>
      <xdr:rowOff>50800</xdr:rowOff>
    </xdr:from>
    <xdr:ext cx="712568" cy="259080"/>
    <xdr:pic>
      <xdr:nvPicPr>
        <xdr:cNvPr id="8" name="Picture 7">
          <a:extLst>
            <a:ext uri="{FF2B5EF4-FFF2-40B4-BE49-F238E27FC236}">
              <a16:creationId xmlns:a16="http://schemas.microsoft.com/office/drawing/2014/main" id="{9EA62522-6F19-45BB-B3E9-A32EB4346E2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49035" y="8547100"/>
          <a:ext cx="712568" cy="259080"/>
        </a:xfrm>
        <a:prstGeom prst="rect">
          <a:avLst/>
        </a:prstGeom>
      </xdr:spPr>
    </xdr:pic>
    <xdr:clientData/>
  </xdr:oneCellAnchor>
  <xdr:oneCellAnchor>
    <xdr:from>
      <xdr:col>33</xdr:col>
      <xdr:colOff>117475</xdr:colOff>
      <xdr:row>104</xdr:row>
      <xdr:rowOff>78105</xdr:rowOff>
    </xdr:from>
    <xdr:ext cx="712568" cy="259080"/>
    <xdr:pic>
      <xdr:nvPicPr>
        <xdr:cNvPr id="9" name="Picture 8">
          <a:extLst>
            <a:ext uri="{FF2B5EF4-FFF2-40B4-BE49-F238E27FC236}">
              <a16:creationId xmlns:a16="http://schemas.microsoft.com/office/drawing/2014/main" id="{D0688AEA-74D5-46DA-ADE8-A01331D07CA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32525" y="17280255"/>
          <a:ext cx="712568" cy="259080"/>
        </a:xfrm>
        <a:prstGeom prst="rect">
          <a:avLst/>
        </a:prstGeom>
      </xdr:spPr>
    </xdr:pic>
    <xdr:clientData/>
  </xdr:oneCellAnchor>
  <xdr:oneCellAnchor>
    <xdr:from>
      <xdr:col>33</xdr:col>
      <xdr:colOff>102235</xdr:colOff>
      <xdr:row>151</xdr:row>
      <xdr:rowOff>82550</xdr:rowOff>
    </xdr:from>
    <xdr:ext cx="712568" cy="259080"/>
    <xdr:pic>
      <xdr:nvPicPr>
        <xdr:cNvPr id="10" name="Picture 9">
          <a:extLst>
            <a:ext uri="{FF2B5EF4-FFF2-40B4-BE49-F238E27FC236}">
              <a16:creationId xmlns:a16="http://schemas.microsoft.com/office/drawing/2014/main" id="{CE67DC1B-DF1A-4E26-8C0B-4731D87588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17285" y="25609550"/>
          <a:ext cx="712568" cy="259080"/>
        </a:xfrm>
        <a:prstGeom prst="rect">
          <a:avLst/>
        </a:prstGeom>
      </xdr:spPr>
    </xdr:pic>
    <xdr:clientData/>
  </xdr:oneCellAnchor>
  <xdr:oneCellAnchor>
    <xdr:from>
      <xdr:col>32</xdr:col>
      <xdr:colOff>172085</xdr:colOff>
      <xdr:row>204</xdr:row>
      <xdr:rowOff>88900</xdr:rowOff>
    </xdr:from>
    <xdr:ext cx="712568" cy="259080"/>
    <xdr:pic>
      <xdr:nvPicPr>
        <xdr:cNvPr id="11" name="Picture 10">
          <a:extLst>
            <a:ext uri="{FF2B5EF4-FFF2-40B4-BE49-F238E27FC236}">
              <a16:creationId xmlns:a16="http://schemas.microsoft.com/office/drawing/2014/main" id="{47E936E0-CA83-4092-8530-EE76ED0C419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02985" y="33655000"/>
          <a:ext cx="712568" cy="259080"/>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7</xdr:col>
          <xdr:colOff>53340</xdr:colOff>
          <xdr:row>4</xdr:row>
          <xdr:rowOff>17770</xdr:rowOff>
        </xdr:to>
        <xdr:pic>
          <xdr:nvPicPr>
            <xdr:cNvPr id="14" name="Picture 13">
              <a:extLst>
                <a:ext uri="{FF2B5EF4-FFF2-40B4-BE49-F238E27FC236}">
                  <a16:creationId xmlns:a16="http://schemas.microsoft.com/office/drawing/2014/main" id="{74DB6ADB-A789-34D3-9A9D-2E2D2E478E8C}"/>
                </a:ext>
              </a:extLst>
            </xdr:cNvPr>
            <xdr:cNvPicPr>
              <a:picLocks noChangeAspect="1" noChangeArrowheads="1"/>
              <a:extLst>
                <a:ext uri="{84589F7E-364E-4C9E-8A38-B11213B215E9}">
                  <a14:cameraTool cellRange="Logo" spid="_x0000_s20406"/>
                </a:ext>
              </a:extLst>
            </xdr:cNvPicPr>
          </xdr:nvPicPr>
          <xdr:blipFill>
            <a:blip xmlns:r="http://schemas.openxmlformats.org/officeDocument/2006/relationships" r:embed="rId2"/>
            <a:srcRect/>
            <a:stretch>
              <a:fillRect/>
            </a:stretch>
          </xdr:blipFill>
          <xdr:spPr bwMode="auto">
            <a:xfrm>
              <a:off x="0" y="0"/>
              <a:ext cx="1346200" cy="77596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0</xdr:colOff>
          <xdr:row>0</xdr:row>
          <xdr:rowOff>0</xdr:rowOff>
        </xdr:from>
        <xdr:to>
          <xdr:col>53</xdr:col>
          <xdr:colOff>174906</xdr:colOff>
          <xdr:row>4</xdr:row>
          <xdr:rowOff>0</xdr:rowOff>
        </xdr:to>
        <xdr:pic>
          <xdr:nvPicPr>
            <xdr:cNvPr id="16" name="Picture 15">
              <a:extLst>
                <a:ext uri="{FF2B5EF4-FFF2-40B4-BE49-F238E27FC236}">
                  <a16:creationId xmlns:a16="http://schemas.microsoft.com/office/drawing/2014/main" id="{BBF5BA17-857B-88A1-E203-0B6C4FE0F079}"/>
                </a:ext>
              </a:extLst>
            </xdr:cNvPr>
            <xdr:cNvPicPr>
              <a:picLocks noChangeAspect="1" noChangeArrowheads="1"/>
              <a:extLst>
                <a:ext uri="{84589F7E-364E-4C9E-8A38-B11213B215E9}">
                  <a14:cameraTool cellRange="Logo" spid="_x0000_s20407"/>
                </a:ext>
              </a:extLst>
            </xdr:cNvPicPr>
          </xdr:nvPicPr>
          <xdr:blipFill>
            <a:blip xmlns:r="http://schemas.openxmlformats.org/officeDocument/2006/relationships" r:embed="rId2"/>
            <a:srcRect/>
            <a:stretch>
              <a:fillRect/>
            </a:stretch>
          </xdr:blipFill>
          <xdr:spPr bwMode="auto">
            <a:xfrm>
              <a:off x="7296150" y="0"/>
              <a:ext cx="1325526" cy="762000"/>
            </a:xfrm>
            <a:prstGeom prst="rect">
              <a:avLst/>
            </a:prstGeom>
            <a:noFill/>
            <a:extLst>
              <a:ext uri="{909E8E84-426E-40DD-AFC4-6F175D3DCCD1}">
                <a14:hiddenFill>
                  <a:solidFill>
                    <a:srgbClr val="FFFFFF"/>
                  </a:solidFill>
                </a14:hiddenFill>
              </a:ext>
            </a:extLst>
          </xdr:spPr>
        </xdr:pic>
        <xdr:clientData/>
      </xdr:twoCellAnchor>
    </mc:Choice>
    <mc:Fallback/>
  </mc:AlternateContent>
  <xdr:oneCellAnchor>
    <xdr:from>
      <xdr:col>33</xdr:col>
      <xdr:colOff>142240</xdr:colOff>
      <xdr:row>248</xdr:row>
      <xdr:rowOff>91440</xdr:rowOff>
    </xdr:from>
    <xdr:ext cx="712568" cy="259080"/>
    <xdr:pic>
      <xdr:nvPicPr>
        <xdr:cNvPr id="2" name="Picture 1">
          <a:extLst>
            <a:ext uri="{FF2B5EF4-FFF2-40B4-BE49-F238E27FC236}">
              <a16:creationId xmlns:a16="http://schemas.microsoft.com/office/drawing/2014/main" id="{DDB0B95C-2720-4128-8464-1C443C9CAAF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55385" y="33883600"/>
          <a:ext cx="712568" cy="259080"/>
        </a:xfrm>
        <a:prstGeom prst="rect">
          <a:avLst/>
        </a:prstGeom>
      </xdr:spPr>
    </xdr:pic>
    <xdr:clientData/>
  </xdr:one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350EFB0-EACE-4F2E-965F-30EBADAB0D63}" name="T_Material" displayName="T_Material" ref="D1:D10" totalsRowShown="0">
  <autoFilter ref="D1:D10" xr:uid="{4350EFB0-EACE-4F2E-965F-30EBADAB0D63}"/>
  <sortState xmlns:xlrd2="http://schemas.microsoft.com/office/spreadsheetml/2017/richdata2" ref="D2:D10">
    <sortCondition ref="D2:D10"/>
  </sortState>
  <tableColumns count="1">
    <tableColumn id="1" xr3:uid="{20635FEE-B87A-4613-8116-D42DBA41BC7B}" name="Material"/>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939741E-8EC4-48CA-B62A-CDE619601AF9}" name="T_Shape" displayName="T_Shape" ref="F1:F10" totalsRowShown="0">
  <autoFilter ref="F1:F10" xr:uid="{6939741E-8EC4-48CA-B62A-CDE619601AF9}"/>
  <sortState xmlns:xlrd2="http://schemas.microsoft.com/office/spreadsheetml/2017/richdata2" ref="F2:F10">
    <sortCondition ref="F2:F10"/>
  </sortState>
  <tableColumns count="1">
    <tableColumn id="1" xr3:uid="{FCA45FDF-4BF6-485F-9343-A0FC0251070A}" name="Shape"/>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397A227-8DCB-4BDE-A6B8-65F88654921D}" name="T_Type" displayName="T_Type" ref="H1:H5" totalsRowShown="0">
  <autoFilter ref="H1:H5" xr:uid="{2397A227-8DCB-4BDE-A6B8-65F88654921D}"/>
  <tableColumns count="1">
    <tableColumn id="1" xr3:uid="{027BD434-05A1-4059-97D8-98CB878E91EF}" name="Type"/>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8C10C78-AF29-47BA-9C97-B74BAA8C7E1E}" name="T_Resp" displayName="T_Resp" ref="J1:J22" totalsRowShown="0">
  <autoFilter ref="J1:J22" xr:uid="{88C10C78-AF29-47BA-9C97-B74BAA8C7E1E}"/>
  <tableColumns count="1">
    <tableColumn id="1" xr3:uid="{C70FD3B5-6EE9-47D3-96F9-BC5D876984C6}" name="Design Response"/>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E259191-FA68-469B-9C44-DAD58569197C}" name="OP" displayName="OP" ref="H8:H14" totalsRowShown="0" headerRowDxfId="372" dataDxfId="371">
  <autoFilter ref="H8:H14" xr:uid="{EE259191-FA68-469B-9C44-DAD58569197C}"/>
  <tableColumns count="1">
    <tableColumn id="1" xr3:uid="{AC426317-999C-4254-A0B5-A017CDD6059C}" name="Outlet Protection" dataDxfId="370"/>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20F46C5-C3D8-44D0-9657-FDDB5D08EB38}" name="Table810" displayName="Table810" ref="B11:B14" totalsRowShown="0" headerRowDxfId="369" dataDxfId="368">
  <autoFilter ref="B11:B14" xr:uid="{D20F46C5-C3D8-44D0-9657-FDDB5D08EB38}"/>
  <tableColumns count="1">
    <tableColumn id="1" xr3:uid="{ED2C022C-C943-4945-9D5E-BBFACAEE998C}" name="Acceptance Table" dataDxfId="367"/>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B5692512-4694-4490-80FE-D519E1ADFACB}" name="Storms" displayName="Storms" ref="K26:L32" totalsRowShown="0" headerRowDxfId="366">
  <autoFilter ref="K26:L32" xr:uid="{B5692512-4694-4490-80FE-D519E1ADFACB}"/>
  <tableColumns count="2">
    <tableColumn id="1" xr3:uid="{964C29F3-8549-471C-81ED-68298C855929}" name="Known or Adj Storm" dataDxfId="365"/>
    <tableColumn id="2" xr3:uid="{37961061-1102-4B88-B1DA-04BDA95C946E}" name="Requirements" dataDxfId="364"/>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8BC48DA0-0C64-488C-B1C6-4A6B2F46FFA3}" name="Table8" displayName="Table8" ref="L35:L37" totalsRowShown="0" headerRowDxfId="363" dataDxfId="362">
  <autoFilter ref="L35:L37" xr:uid="{8BC48DA0-0C64-488C-B1C6-4A6B2F46FFA3}"/>
  <tableColumns count="1">
    <tableColumn id="1" xr3:uid="{B016BA41-CA1F-42B0-B83F-CDA23B9669BE}" name="Question" dataDxfId="361"/>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D54E4538-EAE4-4D75-BB3E-3427FBACEE04}" name="RRC" displayName="RRC" ref="H17:H22" totalsRowShown="0" headerRowDxfId="360" dataDxfId="359">
  <autoFilter ref="H17:H22" xr:uid="{D54E4538-EAE4-4D75-BB3E-3427FBACEE04}"/>
  <tableColumns count="1">
    <tableColumn id="1" xr3:uid="{05D375A8-7B95-45E5-B96D-F4CC9F3EDED3}" name="Riprap Class" dataDxfId="358"/>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5.xml"/><Relationship Id="rId3" Type="http://schemas.openxmlformats.org/officeDocument/2006/relationships/vmlDrawing" Target="../drawings/vmlDrawing1.vml"/><Relationship Id="rId7" Type="http://schemas.openxmlformats.org/officeDocument/2006/relationships/table" Target="../tables/table4.xml"/><Relationship Id="rId12" Type="http://schemas.openxmlformats.org/officeDocument/2006/relationships/table" Target="../tables/table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11" Type="http://schemas.openxmlformats.org/officeDocument/2006/relationships/table" Target="../tables/table8.xml"/><Relationship Id="rId5" Type="http://schemas.openxmlformats.org/officeDocument/2006/relationships/table" Target="../tables/table2.xml"/><Relationship Id="rId10" Type="http://schemas.openxmlformats.org/officeDocument/2006/relationships/table" Target="../tables/table7.xml"/><Relationship Id="rId4" Type="http://schemas.openxmlformats.org/officeDocument/2006/relationships/table" Target="../tables/table1.xml"/><Relationship Id="rId9" Type="http://schemas.openxmlformats.org/officeDocument/2006/relationships/table" Target="../tables/table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5" Type="http://schemas.openxmlformats.org/officeDocument/2006/relationships/comments" Target="../comments1.xml"/><Relationship Id="rId4"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2CB43-2341-4A92-ACD7-244D3FF85EAC}">
  <sheetPr codeName="Sheet3">
    <tabColor rgb="FFFF0000"/>
  </sheetPr>
  <dimension ref="A1:T46"/>
  <sheetViews>
    <sheetView showGridLines="0" zoomScaleNormal="100" workbookViewId="0">
      <selection activeCell="F14" sqref="F14"/>
    </sheetView>
  </sheetViews>
  <sheetFormatPr defaultRowHeight="14.4" x14ac:dyDescent="0.3"/>
  <cols>
    <col min="1" max="1" width="28.44140625" bestFit="1" customWidth="1"/>
    <col min="2" max="2" width="30.77734375" customWidth="1"/>
    <col min="4" max="4" width="26.33203125" bestFit="1" customWidth="1"/>
    <col min="5" max="5" width="3.77734375" customWidth="1"/>
    <col min="6" max="6" width="20.77734375" customWidth="1"/>
    <col min="7" max="7" width="4.5546875" bestFit="1" customWidth="1"/>
    <col min="8" max="8" width="26" bestFit="1" customWidth="1"/>
    <col min="9" max="9" width="3.77734375" customWidth="1"/>
    <col min="10" max="10" width="72.6640625" bestFit="1" customWidth="1"/>
    <col min="11" max="11" width="20" customWidth="1"/>
    <col min="12" max="12" width="23.33203125" bestFit="1" customWidth="1"/>
    <col min="13" max="13" width="23.33203125" customWidth="1"/>
    <col min="14" max="15" width="20.44140625" bestFit="1" customWidth="1"/>
    <col min="16" max="16" width="20.44140625" customWidth="1"/>
    <col min="17" max="17" width="25" bestFit="1" customWidth="1"/>
    <col min="18" max="19" width="20.44140625" bestFit="1" customWidth="1"/>
  </cols>
  <sheetData>
    <row r="1" spans="1:19" x14ac:dyDescent="0.3">
      <c r="A1" s="169" t="s">
        <v>470</v>
      </c>
      <c r="B1" s="170"/>
      <c r="D1" t="s">
        <v>21</v>
      </c>
      <c r="F1" t="s">
        <v>31</v>
      </c>
      <c r="H1" t="s">
        <v>62</v>
      </c>
      <c r="J1" t="s">
        <v>80</v>
      </c>
      <c r="K1">
        <v>1</v>
      </c>
      <c r="L1" s="150" t="s">
        <v>284</v>
      </c>
      <c r="M1" s="150" t="s">
        <v>481</v>
      </c>
      <c r="N1" s="150" t="s">
        <v>145</v>
      </c>
      <c r="O1" s="150" t="s">
        <v>244</v>
      </c>
      <c r="P1" s="150" t="s">
        <v>546</v>
      </c>
      <c r="Q1" s="150" t="s">
        <v>147</v>
      </c>
      <c r="R1" s="150" t="s">
        <v>144</v>
      </c>
      <c r="S1" s="150" t="s">
        <v>146</v>
      </c>
    </row>
    <row r="2" spans="1:19" x14ac:dyDescent="0.3">
      <c r="A2" s="141" t="s">
        <v>471</v>
      </c>
      <c r="B2" s="142">
        <f>EDATE(F$13,B3)</f>
        <v>46661</v>
      </c>
      <c r="D2" t="s">
        <v>22</v>
      </c>
      <c r="F2" t="s">
        <v>334</v>
      </c>
      <c r="H2" t="s">
        <v>169</v>
      </c>
      <c r="J2" t="s">
        <v>82</v>
      </c>
      <c r="K2">
        <f>K1+1</f>
        <v>2</v>
      </c>
      <c r="L2" s="85" t="s">
        <v>5</v>
      </c>
      <c r="M2" s="120">
        <v>1</v>
      </c>
      <c r="N2" s="119">
        <v>1.1000000000000001</v>
      </c>
      <c r="O2" s="119">
        <v>1.1000000000000001</v>
      </c>
      <c r="P2" s="120">
        <v>1.1000000000000001</v>
      </c>
      <c r="Q2" s="119">
        <v>1.2</v>
      </c>
      <c r="R2" s="119">
        <v>1.1000000000000001</v>
      </c>
      <c r="S2" s="120">
        <v>1.1000000000000001</v>
      </c>
    </row>
    <row r="3" spans="1:19" x14ac:dyDescent="0.3">
      <c r="A3" s="143" t="s">
        <v>472</v>
      </c>
      <c r="B3" s="144">
        <v>13</v>
      </c>
      <c r="D3" t="s">
        <v>70</v>
      </c>
      <c r="F3" t="s">
        <v>335</v>
      </c>
      <c r="H3" t="s">
        <v>170</v>
      </c>
      <c r="J3" t="s">
        <v>75</v>
      </c>
      <c r="K3">
        <f t="shared" ref="K3:K23" si="0">K2+1</f>
        <v>3</v>
      </c>
      <c r="L3" s="85" t="s">
        <v>6</v>
      </c>
      <c r="M3" s="120">
        <v>6.02</v>
      </c>
      <c r="N3" s="119">
        <v>4.1100000000000003</v>
      </c>
      <c r="O3" s="119">
        <v>4.1399999999999997</v>
      </c>
      <c r="P3" s="120">
        <v>4.12</v>
      </c>
      <c r="Q3" s="119">
        <v>5.7</v>
      </c>
      <c r="R3" s="119">
        <v>4.24</v>
      </c>
      <c r="S3" s="120">
        <v>4.21</v>
      </c>
    </row>
    <row r="4" spans="1:19" x14ac:dyDescent="0.3">
      <c r="A4" s="143" t="s">
        <v>473</v>
      </c>
      <c r="B4" s="145"/>
      <c r="D4" t="s">
        <v>71</v>
      </c>
      <c r="F4" t="s">
        <v>162</v>
      </c>
      <c r="H4" t="s">
        <v>293</v>
      </c>
      <c r="J4" t="s">
        <v>81</v>
      </c>
      <c r="K4">
        <f t="shared" si="0"/>
        <v>4</v>
      </c>
      <c r="L4" s="85" t="s">
        <v>7</v>
      </c>
      <c r="M4" s="120">
        <v>7.68</v>
      </c>
      <c r="N4" s="119">
        <v>5.01</v>
      </c>
      <c r="O4" s="119">
        <v>5.0599999999999996</v>
      </c>
      <c r="P4" s="120">
        <v>5.05</v>
      </c>
      <c r="Q4" s="119">
        <v>7.21</v>
      </c>
      <c r="R4" s="119">
        <v>5.3</v>
      </c>
      <c r="S4" s="120">
        <v>5.24</v>
      </c>
    </row>
    <row r="5" spans="1:19" x14ac:dyDescent="0.3">
      <c r="A5" s="143" t="s">
        <v>474</v>
      </c>
      <c r="B5" s="144" t="s">
        <v>501</v>
      </c>
      <c r="D5" t="s">
        <v>26</v>
      </c>
      <c r="F5" t="s">
        <v>161</v>
      </c>
      <c r="H5" t="s">
        <v>278</v>
      </c>
      <c r="J5" t="s">
        <v>72</v>
      </c>
      <c r="K5">
        <f t="shared" si="0"/>
        <v>5</v>
      </c>
      <c r="L5" s="85" t="s">
        <v>8</v>
      </c>
      <c r="M5" s="120">
        <v>9.26</v>
      </c>
      <c r="N5" s="119">
        <v>5.87</v>
      </c>
      <c r="O5" s="119">
        <v>5.91</v>
      </c>
      <c r="P5" s="120">
        <v>5.83</v>
      </c>
      <c r="Q5" s="119">
        <v>8.6300000000000008</v>
      </c>
      <c r="R5" s="119">
        <v>6.24</v>
      </c>
      <c r="S5" s="120">
        <v>6.17</v>
      </c>
    </row>
    <row r="6" spans="1:19" x14ac:dyDescent="0.3">
      <c r="A6" s="143" t="s">
        <v>475</v>
      </c>
      <c r="B6" s="146">
        <f>IF(ISBLANK($B$4),$B$2,$B$4)</f>
        <v>46661</v>
      </c>
      <c r="D6" t="s">
        <v>24</v>
      </c>
      <c r="F6" t="s">
        <v>164</v>
      </c>
      <c r="J6" t="str">
        <f>"Emergency Spillway Velocity &gt; "&amp;$F$26&amp;" ft/s"</f>
        <v>Emergency Spillway Velocity &gt; 6 ft/s</v>
      </c>
      <c r="K6">
        <f t="shared" si="0"/>
        <v>6</v>
      </c>
      <c r="L6" s="85" t="s">
        <v>9</v>
      </c>
      <c r="M6" s="120">
        <v>11.7</v>
      </c>
      <c r="N6" s="119">
        <v>7.21</v>
      </c>
      <c r="O6" s="119">
        <v>7.26</v>
      </c>
      <c r="P6" s="120">
        <v>6.91</v>
      </c>
      <c r="Q6" s="119">
        <v>10.8</v>
      </c>
      <c r="R6" s="119">
        <v>7.64</v>
      </c>
      <c r="S6" s="120">
        <v>7.55</v>
      </c>
    </row>
    <row r="7" spans="1:19" x14ac:dyDescent="0.3">
      <c r="A7" s="143" t="s">
        <v>476</v>
      </c>
      <c r="B7" s="147" t="b">
        <f>IF(License!$F$2="I ACCEPT",TRUE,FALSE)</f>
        <v>0</v>
      </c>
      <c r="D7" t="s">
        <v>23</v>
      </c>
      <c r="F7" t="s">
        <v>163</v>
      </c>
      <c r="J7" t="s">
        <v>461</v>
      </c>
      <c r="K7">
        <f t="shared" si="0"/>
        <v>7</v>
      </c>
      <c r="L7" s="85" t="s">
        <v>336</v>
      </c>
      <c r="M7" s="120">
        <v>13.9</v>
      </c>
      <c r="N7" s="119">
        <v>8.3699999999999992</v>
      </c>
      <c r="O7" s="119">
        <v>8.48</v>
      </c>
      <c r="P7" s="120">
        <v>7.75</v>
      </c>
      <c r="Q7" s="119">
        <v>12.7</v>
      </c>
      <c r="R7" s="119">
        <v>8.8000000000000007</v>
      </c>
      <c r="S7" s="120">
        <v>8.6999999999999993</v>
      </c>
    </row>
    <row r="8" spans="1:19" x14ac:dyDescent="0.3">
      <c r="A8" s="148" t="s">
        <v>477</v>
      </c>
      <c r="B8" s="149" t="b">
        <f ca="1">OR(License!$F$4=B5, AND(B7=TRUE, NOW()&lt;B6))</f>
        <v>0</v>
      </c>
      <c r="D8" t="s">
        <v>28</v>
      </c>
      <c r="F8" t="s">
        <v>387</v>
      </c>
      <c r="H8" s="27" t="s">
        <v>450</v>
      </c>
      <c r="J8" t="s">
        <v>107</v>
      </c>
      <c r="K8">
        <f t="shared" si="0"/>
        <v>8</v>
      </c>
      <c r="L8" s="85" t="s">
        <v>10</v>
      </c>
      <c r="M8" s="120">
        <v>16.3</v>
      </c>
      <c r="N8" s="119">
        <v>9.65</v>
      </c>
      <c r="O8" s="119">
        <v>9.83</v>
      </c>
      <c r="P8" s="120">
        <v>8.6</v>
      </c>
      <c r="Q8" s="119">
        <v>14.8</v>
      </c>
      <c r="R8" s="119">
        <v>10</v>
      </c>
      <c r="S8" s="120">
        <v>9.93</v>
      </c>
    </row>
    <row r="9" spans="1:19" ht="15.6" x14ac:dyDescent="0.35">
      <c r="A9" s="27"/>
      <c r="B9" s="27"/>
      <c r="D9" t="s">
        <v>25</v>
      </c>
      <c r="F9" t="s">
        <v>286</v>
      </c>
      <c r="H9" s="27" t="s">
        <v>451</v>
      </c>
      <c r="J9" t="s">
        <v>138</v>
      </c>
      <c r="K9">
        <f t="shared" si="0"/>
        <v>9</v>
      </c>
      <c r="L9" s="85" t="s">
        <v>247</v>
      </c>
      <c r="M9" s="151">
        <v>40574</v>
      </c>
      <c r="N9" s="121" t="s">
        <v>248</v>
      </c>
      <c r="O9" s="121" t="s">
        <v>249</v>
      </c>
      <c r="P9" s="151"/>
      <c r="Q9" s="121" t="s">
        <v>250</v>
      </c>
      <c r="R9" s="121" t="s">
        <v>250</v>
      </c>
      <c r="S9" s="121" t="s">
        <v>251</v>
      </c>
    </row>
    <row r="10" spans="1:19" x14ac:dyDescent="0.3">
      <c r="A10" s="27"/>
      <c r="B10" s="27"/>
      <c r="D10" t="s">
        <v>69</v>
      </c>
      <c r="F10" t="s">
        <v>28</v>
      </c>
      <c r="H10" s="27" t="s">
        <v>452</v>
      </c>
      <c r="J10" t="s">
        <v>364</v>
      </c>
      <c r="K10">
        <f t="shared" si="0"/>
        <v>10</v>
      </c>
      <c r="L10" s="85" t="s">
        <v>252</v>
      </c>
      <c r="M10" s="130" t="s">
        <v>254</v>
      </c>
      <c r="N10" s="87" t="s">
        <v>253</v>
      </c>
      <c r="O10" s="87" t="s">
        <v>254</v>
      </c>
      <c r="P10" s="130" t="s">
        <v>254</v>
      </c>
      <c r="Q10" s="87" t="s">
        <v>253</v>
      </c>
      <c r="R10" s="87" t="s">
        <v>253</v>
      </c>
      <c r="S10" s="87" t="s">
        <v>253</v>
      </c>
    </row>
    <row r="11" spans="1:19" ht="16.2" x14ac:dyDescent="0.3">
      <c r="A11" s="27"/>
      <c r="B11" s="27" t="s">
        <v>478</v>
      </c>
      <c r="H11" s="27" t="s">
        <v>453</v>
      </c>
      <c r="J11" t="s">
        <v>340</v>
      </c>
      <c r="K11">
        <f t="shared" si="0"/>
        <v>11</v>
      </c>
      <c r="L11" s="85" t="s">
        <v>255</v>
      </c>
      <c r="M11" s="130" t="s">
        <v>506</v>
      </c>
      <c r="N11" s="87" t="s">
        <v>256</v>
      </c>
      <c r="O11" s="87" t="s">
        <v>113</v>
      </c>
      <c r="P11" s="130"/>
      <c r="Q11" s="87" t="s">
        <v>113</v>
      </c>
      <c r="R11" s="87" t="s">
        <v>113</v>
      </c>
      <c r="S11" s="87" t="s">
        <v>113</v>
      </c>
    </row>
    <row r="12" spans="1:19" x14ac:dyDescent="0.3">
      <c r="A12" s="27"/>
      <c r="B12" s="27" t="s">
        <v>465</v>
      </c>
      <c r="H12" s="27" t="s">
        <v>454</v>
      </c>
      <c r="J12" t="str">
        <f>F25&amp;" has not been provided"</f>
        <v>0 has not been provided</v>
      </c>
      <c r="K12">
        <f t="shared" si="0"/>
        <v>12</v>
      </c>
      <c r="L12" s="85" t="s">
        <v>282</v>
      </c>
      <c r="M12" s="130"/>
      <c r="N12" s="87"/>
      <c r="O12" s="87"/>
      <c r="P12" s="130"/>
      <c r="Q12" s="87" t="s">
        <v>285</v>
      </c>
      <c r="R12" s="87" t="s">
        <v>316</v>
      </c>
      <c r="S12" s="87"/>
    </row>
    <row r="13" spans="1:19" x14ac:dyDescent="0.3">
      <c r="A13" s="27"/>
      <c r="B13" s="27" t="s">
        <v>479</v>
      </c>
      <c r="D13" s="85" t="s">
        <v>242</v>
      </c>
      <c r="F13" s="124">
        <v>46266</v>
      </c>
      <c r="H13" s="27" t="s">
        <v>455</v>
      </c>
      <c r="J13" t="s">
        <v>288</v>
      </c>
      <c r="K13">
        <f t="shared" si="0"/>
        <v>13</v>
      </c>
      <c r="L13" s="85" t="s">
        <v>283</v>
      </c>
      <c r="M13" s="130">
        <v>6</v>
      </c>
      <c r="N13" s="87">
        <v>5</v>
      </c>
      <c r="O13" s="87">
        <v>5</v>
      </c>
      <c r="P13" s="130">
        <v>6</v>
      </c>
      <c r="Q13" s="87">
        <v>5</v>
      </c>
      <c r="R13" s="87">
        <v>6</v>
      </c>
      <c r="S13" s="87">
        <v>6</v>
      </c>
    </row>
    <row r="14" spans="1:19" x14ac:dyDescent="0.3">
      <c r="A14" s="27"/>
      <c r="B14" s="27" t="s">
        <v>480</v>
      </c>
      <c r="D14" s="89" t="s">
        <v>148</v>
      </c>
      <c r="F14" s="125" t="s">
        <v>146</v>
      </c>
      <c r="H14" s="27" t="s">
        <v>28</v>
      </c>
      <c r="J14" t="s">
        <v>413</v>
      </c>
      <c r="K14">
        <f t="shared" si="0"/>
        <v>14</v>
      </c>
      <c r="L14" s="85" t="s">
        <v>323</v>
      </c>
      <c r="M14" s="152" t="s">
        <v>363</v>
      </c>
      <c r="N14" s="122"/>
      <c r="O14" s="122"/>
      <c r="P14" s="132"/>
      <c r="Q14" s="123" t="s">
        <v>363</v>
      </c>
      <c r="R14" s="123" t="s">
        <v>324</v>
      </c>
      <c r="S14" s="123" t="s">
        <v>325</v>
      </c>
    </row>
    <row r="15" spans="1:19" x14ac:dyDescent="0.3">
      <c r="D15" s="85" t="s">
        <v>5</v>
      </c>
      <c r="F15" s="119">
        <f>HLOOKUP($F$14,$M$1:$S$23,2)</f>
        <v>1.1000000000000001</v>
      </c>
      <c r="G15" s="87" t="str">
        <f>TEXT(F15,"0.00")</f>
        <v>1.10</v>
      </c>
      <c r="J15" t="str">
        <f>"Known flooding:  "&amp;'Form 2C.1 - Design'!AS179&amp;"-yr discharge &gt; "&amp;'Form 2C.1 - Design'!AR179&amp;"-yr discharge"</f>
        <v>Known flooding:  25, 50, and 100-yr discharge &gt; 25-yr discharge</v>
      </c>
      <c r="K15">
        <f t="shared" si="0"/>
        <v>15</v>
      </c>
      <c r="L15" s="85" t="s">
        <v>338</v>
      </c>
      <c r="M15" s="130" t="s">
        <v>339</v>
      </c>
      <c r="N15" s="87" t="s">
        <v>339</v>
      </c>
      <c r="O15" s="87" t="s">
        <v>339</v>
      </c>
      <c r="P15" s="130" t="s">
        <v>339</v>
      </c>
      <c r="Q15" s="87" t="s">
        <v>339</v>
      </c>
      <c r="R15" s="87" t="s">
        <v>339</v>
      </c>
      <c r="S15" s="87" t="s">
        <v>339</v>
      </c>
    </row>
    <row r="16" spans="1:19" x14ac:dyDescent="0.3">
      <c r="D16" s="85" t="s">
        <v>6</v>
      </c>
      <c r="F16" s="119">
        <f>HLOOKUP($F$14,$M$1:$S$23,3)</f>
        <v>4.21</v>
      </c>
      <c r="J16" t="str">
        <f>"Drains to adjacent property:  "&amp;'Form 2C.1 - Design'!AS179&amp;"-yr discharge &gt; "&amp;'Form 2C.1 - Design'!AR179&amp;"-yr discharge"</f>
        <v>Drains to adjacent property:  25, 50, and 100-yr discharge &gt; 25-yr discharge</v>
      </c>
      <c r="K16">
        <f t="shared" si="0"/>
        <v>16</v>
      </c>
      <c r="L16" s="85" t="s">
        <v>385</v>
      </c>
      <c r="M16" s="130">
        <v>6</v>
      </c>
      <c r="N16" s="87">
        <v>6</v>
      </c>
      <c r="O16" s="87">
        <v>6</v>
      </c>
      <c r="P16" s="130">
        <v>6</v>
      </c>
      <c r="Q16" s="87">
        <v>5</v>
      </c>
      <c r="R16" s="87">
        <v>6</v>
      </c>
      <c r="S16" s="87">
        <v>6</v>
      </c>
    </row>
    <row r="17" spans="4:20" x14ac:dyDescent="0.3">
      <c r="D17" s="85" t="s">
        <v>7</v>
      </c>
      <c r="F17" s="119">
        <f>HLOOKUP($F$14,$M$1:$S$23,4)</f>
        <v>5.24</v>
      </c>
      <c r="G17" s="88"/>
      <c r="H17" s="27" t="s">
        <v>558</v>
      </c>
      <c r="J17" t="s">
        <v>380</v>
      </c>
      <c r="K17">
        <f t="shared" si="0"/>
        <v>17</v>
      </c>
      <c r="L17" s="85" t="s">
        <v>386</v>
      </c>
      <c r="M17" s="130" t="s">
        <v>133</v>
      </c>
      <c r="N17" s="130" t="s">
        <v>133</v>
      </c>
      <c r="O17" s="130" t="s">
        <v>133</v>
      </c>
      <c r="P17" s="130" t="s">
        <v>133</v>
      </c>
      <c r="Q17" s="130" t="s">
        <v>133</v>
      </c>
      <c r="R17" s="130" t="s">
        <v>133</v>
      </c>
      <c r="S17" s="130" t="s">
        <v>133</v>
      </c>
    </row>
    <row r="18" spans="4:20" x14ac:dyDescent="0.3">
      <c r="D18" s="85" t="s">
        <v>8</v>
      </c>
      <c r="F18" s="119">
        <f>HLOOKUP($F$14,$M$1:$S$23,5)</f>
        <v>6.17</v>
      </c>
      <c r="H18" s="130">
        <v>1</v>
      </c>
      <c r="J18" t="str">
        <f>"Outlet Control Structure Velocity &gt; "&amp;$F$26&amp;" ft/s"</f>
        <v>Outlet Control Structure Velocity &gt; 6 ft/s</v>
      </c>
      <c r="K18">
        <f t="shared" si="0"/>
        <v>18</v>
      </c>
      <c r="L18" s="85" t="s">
        <v>389</v>
      </c>
      <c r="M18" s="130">
        <v>25</v>
      </c>
      <c r="N18" s="130">
        <v>25</v>
      </c>
      <c r="O18" s="130">
        <v>25</v>
      </c>
      <c r="P18" s="130">
        <v>25</v>
      </c>
      <c r="Q18" s="130">
        <v>2</v>
      </c>
      <c r="R18" s="130">
        <v>25</v>
      </c>
      <c r="S18" s="130">
        <v>25</v>
      </c>
    </row>
    <row r="19" spans="4:20" x14ac:dyDescent="0.3">
      <c r="D19" s="85" t="s">
        <v>9</v>
      </c>
      <c r="F19" s="119">
        <f>HLOOKUP($F$14,$M$1:$S$23,6)</f>
        <v>7.55</v>
      </c>
      <c r="H19" s="130">
        <v>2</v>
      </c>
      <c r="J19" t="s">
        <v>426</v>
      </c>
      <c r="K19" s="27">
        <f t="shared" si="0"/>
        <v>19</v>
      </c>
      <c r="L19" s="85" t="s">
        <v>437</v>
      </c>
      <c r="M19" s="130" t="str">
        <f t="shared" ref="M19" si="1">VLOOKUP(M18,$K$27:$L$32,2)</f>
        <v>25, 50, and 100</v>
      </c>
      <c r="N19" s="130" t="str">
        <f>VLOOKUP(N18,$K$27:$L$32,2)</f>
        <v>25, 50, and 100</v>
      </c>
      <c r="O19" s="130" t="str">
        <f>VLOOKUP(O18,$K$27:$L$32,2)</f>
        <v>25, 50, and 100</v>
      </c>
      <c r="P19" s="130" t="str">
        <f>VLOOKUP(P18,$K$27:$L$32,2)</f>
        <v>25, 50, and 100</v>
      </c>
      <c r="Q19" s="130" t="str">
        <f t="shared" ref="Q19:S19" si="2">VLOOKUP(Q18,$K$27:$L$32,2)</f>
        <v>2, 5, 10, 25, 50, and 100</v>
      </c>
      <c r="R19" s="130" t="str">
        <f t="shared" si="2"/>
        <v>25, 50, and 100</v>
      </c>
      <c r="S19" s="130" t="str">
        <f t="shared" si="2"/>
        <v>25, 50, and 100</v>
      </c>
      <c r="T19" s="27"/>
    </row>
    <row r="20" spans="4:20" x14ac:dyDescent="0.3">
      <c r="D20" s="85" t="s">
        <v>336</v>
      </c>
      <c r="F20" s="119">
        <f>HLOOKUP($F$14,$M$1:$S$23,7)</f>
        <v>8.6999999999999993</v>
      </c>
      <c r="H20" s="130">
        <v>3</v>
      </c>
      <c r="J20" s="27" t="s">
        <v>446</v>
      </c>
      <c r="K20" s="27">
        <f t="shared" si="0"/>
        <v>20</v>
      </c>
      <c r="L20" s="85" t="s">
        <v>390</v>
      </c>
      <c r="M20" s="130" t="s">
        <v>133</v>
      </c>
      <c r="N20" s="130" t="s">
        <v>133</v>
      </c>
      <c r="O20" s="130" t="s">
        <v>133</v>
      </c>
      <c r="P20" s="130" t="s">
        <v>133</v>
      </c>
      <c r="Q20" s="130" t="s">
        <v>151</v>
      </c>
      <c r="R20" s="130" t="s">
        <v>151</v>
      </c>
      <c r="S20" s="130" t="s">
        <v>151</v>
      </c>
      <c r="T20" s="27"/>
    </row>
    <row r="21" spans="4:20" x14ac:dyDescent="0.3">
      <c r="D21" s="85" t="s">
        <v>10</v>
      </c>
      <c r="F21" s="119">
        <f>HLOOKUP($F$14,$M$1:$S$23,8)</f>
        <v>9.93</v>
      </c>
      <c r="H21" s="130">
        <v>4</v>
      </c>
      <c r="J21" s="27" t="s">
        <v>447</v>
      </c>
      <c r="K21" s="27">
        <f t="shared" si="0"/>
        <v>21</v>
      </c>
      <c r="L21" s="85" t="s">
        <v>391</v>
      </c>
      <c r="M21" s="130">
        <v>25</v>
      </c>
      <c r="N21" s="130">
        <v>25</v>
      </c>
      <c r="O21" s="130">
        <v>25</v>
      </c>
      <c r="P21" s="130">
        <v>25</v>
      </c>
      <c r="Q21" s="130">
        <v>2</v>
      </c>
      <c r="R21" s="130">
        <v>25</v>
      </c>
      <c r="S21" s="130">
        <v>25</v>
      </c>
      <c r="T21" s="27"/>
    </row>
    <row r="22" spans="4:20" x14ac:dyDescent="0.3">
      <c r="D22" s="85" t="s">
        <v>247</v>
      </c>
      <c r="F22" s="126" t="str">
        <f>HLOOKUP($F$14,$M$1:$S$23,9)</f>
        <v>1 July 2018</v>
      </c>
      <c r="H22" s="130">
        <v>5</v>
      </c>
      <c r="J22" t="e">
        <f>"For Class "&amp;'Form 2C.1 - Design'!AR137&amp;" Riprap, the minimum depth is "&amp;'Form 2C.1 - Design'!AS137&amp;"0-feet"</f>
        <v>#N/A</v>
      </c>
      <c r="K22" s="27">
        <f t="shared" si="0"/>
        <v>22</v>
      </c>
      <c r="L22" s="85" t="s">
        <v>438</v>
      </c>
      <c r="M22" s="130" t="str">
        <f t="shared" ref="M22" si="3">VLOOKUP(M21,$K$27:$L$32,2)</f>
        <v>25, 50, and 100</v>
      </c>
      <c r="N22" s="130" t="str">
        <f>VLOOKUP(N21,$K$27:$L$32,2)</f>
        <v>25, 50, and 100</v>
      </c>
      <c r="O22" s="130" t="str">
        <f>VLOOKUP(O21,$K$27:$L$32,2)</f>
        <v>25, 50, and 100</v>
      </c>
      <c r="P22" s="130" t="str">
        <f>VLOOKUP(P21,$K$27:$L$32,2)</f>
        <v>25, 50, and 100</v>
      </c>
      <c r="Q22" s="130" t="str">
        <f t="shared" ref="Q22:S22" si="4">VLOOKUP(Q21,$K$27:$L$32,2)</f>
        <v>2, 5, 10, 25, 50, and 100</v>
      </c>
      <c r="R22" s="130" t="str">
        <f t="shared" si="4"/>
        <v>25, 50, and 100</v>
      </c>
      <c r="S22" s="130" t="str">
        <f t="shared" si="4"/>
        <v>25, 50, and 100</v>
      </c>
      <c r="T22" s="27"/>
    </row>
    <row r="23" spans="4:20" x14ac:dyDescent="0.3">
      <c r="D23" s="85" t="s">
        <v>257</v>
      </c>
      <c r="F23" s="126" t="str">
        <f>HLOOKUP($F$14,$M$1:$S$23,10)</f>
        <v>City</v>
      </c>
      <c r="K23" s="27">
        <f t="shared" si="0"/>
        <v>23</v>
      </c>
      <c r="L23" s="85" t="s">
        <v>436</v>
      </c>
      <c r="M23" s="130" t="s">
        <v>507</v>
      </c>
      <c r="N23" s="130" t="s">
        <v>547</v>
      </c>
      <c r="O23" s="130" t="s">
        <v>547</v>
      </c>
      <c r="P23" s="130" t="s">
        <v>547</v>
      </c>
      <c r="Q23" s="130" t="s">
        <v>547</v>
      </c>
      <c r="R23" s="130" t="s">
        <v>548</v>
      </c>
      <c r="S23" s="130" t="s">
        <v>547</v>
      </c>
      <c r="T23" s="27"/>
    </row>
    <row r="24" spans="4:20" x14ac:dyDescent="0.3">
      <c r="D24" s="85" t="s">
        <v>255</v>
      </c>
      <c r="F24" s="126" t="str">
        <f>HLOOKUP($F$14,$M$1:$S$23,11)</f>
        <v xml:space="preserve"> O&amp;M Agreement</v>
      </c>
      <c r="K24" s="27">
        <v>24</v>
      </c>
      <c r="L24" s="85" t="s">
        <v>495</v>
      </c>
      <c r="M24" s="130" t="s">
        <v>481</v>
      </c>
      <c r="N24" s="130" t="s">
        <v>496</v>
      </c>
      <c r="O24" s="130" t="s">
        <v>497</v>
      </c>
      <c r="P24" s="130" t="s">
        <v>546</v>
      </c>
      <c r="Q24" s="130" t="s">
        <v>498</v>
      </c>
      <c r="R24" s="130" t="s">
        <v>499</v>
      </c>
      <c r="S24" s="130" t="s">
        <v>500</v>
      </c>
      <c r="T24" s="27"/>
    </row>
    <row r="25" spans="4:20" x14ac:dyDescent="0.3">
      <c r="D25" s="85" t="s">
        <v>282</v>
      </c>
      <c r="F25" s="119">
        <f>HLOOKUP($F$14,$M$1:$S$23,12)</f>
        <v>0</v>
      </c>
      <c r="K25" s="27"/>
      <c r="L25" s="27"/>
      <c r="M25" s="27"/>
      <c r="N25" s="27"/>
      <c r="O25" s="27"/>
      <c r="Q25" s="27"/>
      <c r="R25" s="27"/>
      <c r="S25" s="27"/>
      <c r="T25" s="27"/>
    </row>
    <row r="26" spans="4:20" x14ac:dyDescent="0.3">
      <c r="D26" s="85" t="s">
        <v>283</v>
      </c>
      <c r="F26" s="119">
        <f>HLOOKUP($F$14,$M$1:$S$23,13)</f>
        <v>6</v>
      </c>
      <c r="K26" s="130" t="s">
        <v>439</v>
      </c>
      <c r="L26" s="130" t="s">
        <v>440</v>
      </c>
      <c r="M26" s="130"/>
      <c r="O26" s="27"/>
      <c r="P26" s="27"/>
      <c r="Q26" s="27"/>
      <c r="R26" s="27"/>
      <c r="S26" s="27"/>
      <c r="T26" s="27"/>
    </row>
    <row r="27" spans="4:20" x14ac:dyDescent="0.3">
      <c r="D27" s="85" t="s">
        <v>333</v>
      </c>
      <c r="F27" s="122" t="str">
        <f>HLOOKUP($F$14,$M$1:$S$23,14)</f>
        <v>1 September</v>
      </c>
      <c r="K27" s="27">
        <v>2</v>
      </c>
      <c r="L27" s="85" t="s">
        <v>339</v>
      </c>
      <c r="M27" s="85"/>
      <c r="O27" s="27"/>
      <c r="P27" s="27"/>
      <c r="Q27" s="27"/>
      <c r="R27" s="27"/>
      <c r="S27" s="27"/>
      <c r="T27" s="27"/>
    </row>
    <row r="28" spans="4:20" x14ac:dyDescent="0.3">
      <c r="D28" s="85" t="s">
        <v>337</v>
      </c>
      <c r="F28" s="122" t="str">
        <f>HLOOKUP($F$14,$M$1:$S$23,15)</f>
        <v>2, 5, 10, 25, 50, and 100</v>
      </c>
      <c r="K28" s="27">
        <v>5</v>
      </c>
      <c r="L28" s="85" t="s">
        <v>442</v>
      </c>
      <c r="M28" s="85"/>
      <c r="O28" s="27"/>
      <c r="P28" s="27"/>
      <c r="Q28" s="27"/>
      <c r="R28" s="27"/>
      <c r="S28" s="27"/>
      <c r="T28" s="27"/>
    </row>
    <row r="29" spans="4:20" x14ac:dyDescent="0.3">
      <c r="D29" s="85" t="s">
        <v>386</v>
      </c>
      <c r="E29" s="106"/>
      <c r="F29" s="122" t="str">
        <f>HLOOKUP($F$14,$M$1:$S$23,17)</f>
        <v>No</v>
      </c>
      <c r="K29" s="27">
        <v>10</v>
      </c>
      <c r="L29" s="85" t="s">
        <v>443</v>
      </c>
      <c r="M29" s="85"/>
      <c r="N29" s="27"/>
      <c r="O29" s="27"/>
      <c r="P29" s="27"/>
      <c r="Q29" s="27"/>
      <c r="R29" s="27"/>
      <c r="S29" s="27"/>
      <c r="T29" s="27"/>
    </row>
    <row r="30" spans="4:20" x14ac:dyDescent="0.3">
      <c r="D30" s="85" t="s">
        <v>389</v>
      </c>
      <c r="E30" s="106"/>
      <c r="F30" s="106">
        <f>HLOOKUP($F$14,$M$1:$S$23,18)</f>
        <v>25</v>
      </c>
      <c r="K30" s="27">
        <v>25</v>
      </c>
      <c r="L30" s="85" t="s">
        <v>444</v>
      </c>
      <c r="M30" s="85"/>
      <c r="N30" s="27"/>
      <c r="O30" s="27"/>
      <c r="P30" s="27"/>
      <c r="Q30" s="27"/>
      <c r="R30" s="27"/>
      <c r="S30" s="27"/>
      <c r="T30" s="27"/>
    </row>
    <row r="31" spans="4:20" x14ac:dyDescent="0.3">
      <c r="D31" s="85" t="s">
        <v>437</v>
      </c>
      <c r="E31" s="131"/>
      <c r="F31" s="131" t="str">
        <f>HLOOKUP($F$14,$M$1:$S$23,19)</f>
        <v>25, 50, and 100</v>
      </c>
      <c r="K31" s="27">
        <v>50</v>
      </c>
      <c r="L31" s="85" t="s">
        <v>445</v>
      </c>
      <c r="M31" s="85"/>
      <c r="N31" s="27"/>
      <c r="O31" s="27"/>
      <c r="P31" s="27"/>
      <c r="Q31" s="27"/>
      <c r="R31" s="27"/>
      <c r="S31" s="27"/>
      <c r="T31" s="27"/>
    </row>
    <row r="32" spans="4:20" x14ac:dyDescent="0.3">
      <c r="D32" s="85" t="s">
        <v>390</v>
      </c>
      <c r="E32" s="131"/>
      <c r="F32" s="132" t="str">
        <f>HLOOKUP($F$14,$M$1:$S$23,20)</f>
        <v>Yes</v>
      </c>
      <c r="K32" s="27">
        <v>100</v>
      </c>
      <c r="L32" s="85">
        <v>100</v>
      </c>
      <c r="M32" s="85"/>
      <c r="N32" s="27"/>
      <c r="O32" s="27"/>
      <c r="P32" s="27"/>
      <c r="Q32" s="27"/>
      <c r="R32" s="27"/>
      <c r="S32" s="27"/>
      <c r="T32" s="27"/>
    </row>
    <row r="33" spans="4:20" x14ac:dyDescent="0.3">
      <c r="D33" s="85" t="s">
        <v>391</v>
      </c>
      <c r="E33" s="131"/>
      <c r="F33" s="131">
        <f>HLOOKUP($F$14,$M$1:$S$23,21)</f>
        <v>25</v>
      </c>
      <c r="K33" s="27"/>
      <c r="L33" s="27"/>
      <c r="M33" s="27"/>
      <c r="N33" s="27"/>
      <c r="O33" s="27"/>
      <c r="P33" s="27"/>
      <c r="Q33" s="27"/>
      <c r="R33" s="27"/>
      <c r="S33" s="27"/>
      <c r="T33" s="27"/>
    </row>
    <row r="34" spans="4:20" x14ac:dyDescent="0.3">
      <c r="D34" s="85" t="s">
        <v>438</v>
      </c>
      <c r="E34" s="131"/>
      <c r="F34" s="131" t="str">
        <f>HLOOKUP($F$14,$M$1:$S$23,22)</f>
        <v>25, 50, and 100</v>
      </c>
      <c r="K34" s="27"/>
      <c r="L34" s="27"/>
      <c r="M34" s="27"/>
      <c r="N34" s="27"/>
      <c r="O34" s="27"/>
      <c r="P34" s="27"/>
      <c r="Q34" s="27"/>
      <c r="R34" s="27"/>
      <c r="S34" s="27"/>
      <c r="T34" s="27"/>
    </row>
    <row r="35" spans="4:20" x14ac:dyDescent="0.3">
      <c r="D35" s="85" t="s">
        <v>448</v>
      </c>
      <c r="E35" s="131"/>
      <c r="F35" s="131">
        <f>MIN(F30,F33)</f>
        <v>25</v>
      </c>
      <c r="K35" s="27"/>
      <c r="L35" s="130" t="s">
        <v>441</v>
      </c>
      <c r="M35" s="27"/>
      <c r="N35" s="27"/>
      <c r="O35" s="27"/>
      <c r="P35" s="27"/>
      <c r="Q35" s="27"/>
      <c r="R35" s="27"/>
      <c r="S35" s="27"/>
      <c r="T35" s="27"/>
    </row>
    <row r="36" spans="4:20" x14ac:dyDescent="0.3">
      <c r="D36" s="85" t="s">
        <v>449</v>
      </c>
      <c r="E36" s="131"/>
      <c r="F36" s="130" t="str">
        <f>VLOOKUP(F35,$K$27:$L$32,2)</f>
        <v>25, 50, and 100</v>
      </c>
      <c r="K36" s="27"/>
      <c r="L36" s="130" t="s">
        <v>151</v>
      </c>
      <c r="M36" s="27"/>
      <c r="N36" s="27"/>
      <c r="O36" s="27"/>
      <c r="P36" s="27"/>
      <c r="Q36" s="27"/>
      <c r="R36" s="27"/>
      <c r="S36" s="27"/>
      <c r="T36" s="27"/>
    </row>
    <row r="37" spans="4:20" x14ac:dyDescent="0.3">
      <c r="D37" s="85" t="s">
        <v>436</v>
      </c>
      <c r="E37" s="131"/>
      <c r="F37" s="131" t="str">
        <f>HLOOKUP($F$14,$M$1:$S$23,23)</f>
        <v>Release Agreement</v>
      </c>
      <c r="K37" s="27"/>
      <c r="L37" s="130" t="s">
        <v>133</v>
      </c>
      <c r="M37" s="27"/>
      <c r="N37" s="27"/>
      <c r="O37" s="27"/>
      <c r="P37" s="27"/>
      <c r="Q37" s="27"/>
      <c r="R37" s="27"/>
      <c r="S37" s="27"/>
      <c r="T37" s="27"/>
    </row>
    <row r="38" spans="4:20" x14ac:dyDescent="0.3">
      <c r="D38" s="89" t="s">
        <v>495</v>
      </c>
      <c r="F38" s="106" t="str">
        <f>HLOOKUP($F$14,$M$1:$S$24,24)</f>
        <v>the City of Prattville</v>
      </c>
    </row>
    <row r="39" spans="4:20" x14ac:dyDescent="0.3">
      <c r="H39" s="95" t="s">
        <v>276</v>
      </c>
    </row>
    <row r="40" spans="4:20" ht="64.95" customHeight="1" x14ac:dyDescent="0.3">
      <c r="D40" s="27"/>
      <c r="E40" s="153" t="s">
        <v>481</v>
      </c>
      <c r="F40" s="27"/>
    </row>
    <row r="41" spans="4:20" ht="64.95" customHeight="1" x14ac:dyDescent="0.3">
      <c r="E41" s="85" t="s">
        <v>145</v>
      </c>
    </row>
    <row r="42" spans="4:20" ht="64.95" customHeight="1" x14ac:dyDescent="0.3">
      <c r="E42" s="85" t="s">
        <v>244</v>
      </c>
    </row>
    <row r="43" spans="4:20" ht="64.95" customHeight="1" x14ac:dyDescent="0.3">
      <c r="E43" s="85" t="s">
        <v>546</v>
      </c>
      <c r="F43" s="163" t="e" vm="1">
        <v>#VALUE!</v>
      </c>
    </row>
    <row r="44" spans="4:20" ht="64.95" customHeight="1" x14ac:dyDescent="0.3">
      <c r="E44" s="85" t="s">
        <v>147</v>
      </c>
    </row>
    <row r="45" spans="4:20" ht="64.95" customHeight="1" x14ac:dyDescent="0.3">
      <c r="E45" s="85" t="s">
        <v>144</v>
      </c>
    </row>
    <row r="46" spans="4:20" ht="64.95" customHeight="1" x14ac:dyDescent="0.3">
      <c r="E46" s="85" t="s">
        <v>146</v>
      </c>
    </row>
  </sheetData>
  <sheetProtection algorithmName="SHA-512" hashValue="6P3sD6CKPhJXwhLjE0+sUT0ltnBJDOnjZaDtuRSpk5c34TBBQJJR0kO4dUmnpKEutm1IDTccPMcJ7LN/h1ZOzg==" saltValue="Td1yj9gwWIcCqk+ig3IU8g==" spinCount="100000" sheet="1" objects="1" scenarios="1"/>
  <mergeCells count="1">
    <mergeCell ref="A1:B1"/>
  </mergeCells>
  <dataValidations count="4">
    <dataValidation type="list" allowBlank="1" showInputMessage="1" showErrorMessage="1" sqref="F14" xr:uid="{7F313BDA-AE88-459D-97D1-FCBB8B4F7AB6}">
      <formula1>$M$1:$S$1</formula1>
    </dataValidation>
    <dataValidation type="list" allowBlank="1" showInputMessage="1" showErrorMessage="1" sqref="M21:S21 M18:S18" xr:uid="{9EA6F4BF-A569-451C-877B-E095E9A255B6}">
      <formula1>$K$27:$K$32</formula1>
    </dataValidation>
    <dataValidation type="list" allowBlank="1" showInputMessage="1" showErrorMessage="1" sqref="Q20:S20 M20:O20 M17:O17 Q17:S17" xr:uid="{65449D7D-0539-47AB-9B18-661D21DDE752}">
      <formula1>$L$36:$L$37</formula1>
    </dataValidation>
    <dataValidation type="list" allowBlank="1" showInputMessage="1" showErrorMessage="1" sqref="P20 P17" xr:uid="{1203CEF5-85C2-45D5-8A94-AA677F7346D2}">
      <formula1>$L$35:$L$36</formula1>
    </dataValidation>
  </dataValidations>
  <pageMargins left="0.7" right="0.7" top="0.75" bottom="0.75" header="0.3" footer="0.3"/>
  <pageSetup orientation="portrait" horizontalDpi="1200" verticalDpi="1200" r:id="rId1"/>
  <drawing r:id="rId2"/>
  <legacyDrawing r:id="rId3"/>
  <tableParts count="9">
    <tablePart r:id="rId4"/>
    <tablePart r:id="rId5"/>
    <tablePart r:id="rId6"/>
    <tablePart r:id="rId7"/>
    <tablePart r:id="rId8"/>
    <tablePart r:id="rId9"/>
    <tablePart r:id="rId10"/>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2442E-5BDD-4EB7-ACA3-35258981D945}">
  <sheetPr codeName="Sheet4">
    <tabColor theme="2" tint="-0.499984740745262"/>
    <pageSetUpPr fitToPage="1"/>
  </sheetPr>
  <dimension ref="A1:T62"/>
  <sheetViews>
    <sheetView showGridLines="0" showRowColHeaders="0" tabSelected="1" topLeftCell="B1" zoomScale="130" zoomScaleNormal="130" workbookViewId="0">
      <pane ySplit="3" topLeftCell="A5" activePane="bottomLeft" state="frozen"/>
      <selection pane="bottomLeft" activeCell="F2" sqref="F2"/>
    </sheetView>
  </sheetViews>
  <sheetFormatPr defaultColWidth="0" defaultRowHeight="19.95" customHeight="1" x14ac:dyDescent="0.3"/>
  <cols>
    <col min="1" max="1" width="8.88671875" style="137" hidden="1" customWidth="1"/>
    <col min="2" max="2" width="4.77734375" style="15" customWidth="1"/>
    <col min="3" max="3" width="5.77734375" style="14" customWidth="1"/>
    <col min="4" max="4" width="24.77734375" style="15" customWidth="1"/>
    <col min="5" max="5" width="8.88671875" style="15" customWidth="1"/>
    <col min="6" max="6" width="20.77734375" style="15" customWidth="1"/>
    <col min="7" max="14" width="8.88671875" style="15" customWidth="1"/>
    <col min="15" max="15" width="10.77734375" style="15" customWidth="1"/>
    <col min="16" max="16" width="10.77734375" customWidth="1"/>
    <col min="17" max="20" width="8.88671875" style="15" customWidth="1"/>
    <col min="21" max="16384" width="8.88671875" style="15" hidden="1"/>
  </cols>
  <sheetData>
    <row r="1" spans="1:17" ht="19.95" customHeight="1" x14ac:dyDescent="0.3">
      <c r="C1" s="54" t="s">
        <v>532</v>
      </c>
      <c r="N1" s="136" t="s">
        <v>463</v>
      </c>
      <c r="O1" s="167">
        <f>Tables!F13</f>
        <v>46266</v>
      </c>
      <c r="P1" s="167"/>
    </row>
    <row r="2" spans="1:17" ht="19.95" customHeight="1" x14ac:dyDescent="0.3">
      <c r="A2" s="138">
        <f>IF(OR(F2="I ACCEPT",F2="I DO NOT ACCEPT"),1,2)</f>
        <v>2</v>
      </c>
      <c r="E2" s="136" t="s">
        <v>464</v>
      </c>
      <c r="F2" s="154" t="s">
        <v>465</v>
      </c>
      <c r="N2" s="136" t="s">
        <v>466</v>
      </c>
      <c r="O2" s="167">
        <f>Tables!B6</f>
        <v>46661</v>
      </c>
      <c r="P2" s="167"/>
    </row>
    <row r="3" spans="1:17" ht="19.95" customHeight="1" x14ac:dyDescent="0.3">
      <c r="A3" s="138">
        <f ca="1">IF(F3="Workbook is Locked and Unavailable",2,1)</f>
        <v>2</v>
      </c>
      <c r="E3" s="136" t="s">
        <v>468</v>
      </c>
      <c r="F3" s="168" t="str">
        <f ca="1">IF(Tables!$B$8,"Workbook is Active","Workbook is Locked and Unavailable")</f>
        <v>Workbook is Locked and Unavailable</v>
      </c>
      <c r="G3" s="168"/>
      <c r="H3" s="168"/>
    </row>
    <row r="4" spans="1:17" ht="19.95" hidden="1" customHeight="1" x14ac:dyDescent="0.3">
      <c r="B4" s="137"/>
      <c r="C4" s="140"/>
      <c r="D4" s="137"/>
      <c r="E4" s="157" t="s">
        <v>469</v>
      </c>
      <c r="F4" s="158"/>
      <c r="G4" s="137"/>
      <c r="H4" s="137"/>
      <c r="I4" s="137"/>
      <c r="J4" s="137"/>
      <c r="K4" s="137"/>
      <c r="L4" s="137"/>
      <c r="M4" s="137"/>
      <c r="N4" s="137"/>
      <c r="O4" s="137"/>
      <c r="P4" s="137"/>
      <c r="Q4" s="137"/>
    </row>
    <row r="5" spans="1:17" ht="19.95" customHeight="1" x14ac:dyDescent="0.3">
      <c r="E5" s="136"/>
    </row>
    <row r="6" spans="1:17" ht="19.95" customHeight="1" x14ac:dyDescent="0.3">
      <c r="D6" s="155"/>
      <c r="E6" s="155" t="s">
        <v>467</v>
      </c>
      <c r="F6" s="15" t="s">
        <v>508</v>
      </c>
    </row>
    <row r="7" spans="1:17" ht="19.95" customHeight="1" x14ac:dyDescent="0.3">
      <c r="D7" s="155"/>
      <c r="E7" s="156"/>
      <c r="F7" s="15" t="str">
        <f>"By clicking I ACCEPT above, you represent that you are (a) preparing a post-construction submittal for "&amp;Tables!$F$38&amp;" and/or"</f>
        <v>By clicking I ACCEPT above, you represent that you are (a) preparing a post-construction submittal for the City of Prattville and/or</v>
      </c>
    </row>
    <row r="8" spans="1:17" ht="19.95" customHeight="1" x14ac:dyDescent="0.3">
      <c r="D8" s="155"/>
      <c r="E8" s="156"/>
      <c r="F8" s="15" t="s">
        <v>533</v>
      </c>
    </row>
    <row r="9" spans="1:17" ht="19.95" customHeight="1" x14ac:dyDescent="0.3">
      <c r="D9" s="155"/>
      <c r="E9" s="156"/>
      <c r="F9" s="15" t="s">
        <v>509</v>
      </c>
    </row>
    <row r="10" spans="1:17" ht="19.95" customHeight="1" x14ac:dyDescent="0.3">
      <c r="D10" s="155"/>
      <c r="E10" s="156"/>
    </row>
    <row r="11" spans="1:17" ht="19.95" customHeight="1" x14ac:dyDescent="0.3">
      <c r="D11" s="155">
        <v>1</v>
      </c>
      <c r="E11" s="5" t="s">
        <v>510</v>
      </c>
    </row>
    <row r="12" spans="1:17" ht="19.95" customHeight="1" x14ac:dyDescent="0.3">
      <c r="A12" s="139"/>
      <c r="D12" s="155"/>
      <c r="E12" s="156"/>
      <c r="F12" s="15" t="s">
        <v>482</v>
      </c>
    </row>
    <row r="13" spans="1:17" ht="19.95" customHeight="1" x14ac:dyDescent="0.3">
      <c r="D13" s="155"/>
      <c r="E13" s="156"/>
      <c r="F13" s="15" t="str">
        <f>"and submit post-construction application materials to "&amp;Tables!$F$38&amp;" and for the User's internal recordkeeping for those"</f>
        <v>and submit post-construction application materials to the City of Prattville and for the User's internal recordkeeping for those</v>
      </c>
    </row>
    <row r="14" spans="1:17" ht="19.95" customHeight="1" x14ac:dyDescent="0.3">
      <c r="D14" s="155"/>
      <c r="E14" s="156"/>
      <c r="F14" s="15" t="s">
        <v>483</v>
      </c>
    </row>
    <row r="15" spans="1:17" ht="19.95" customHeight="1" x14ac:dyDescent="0.3">
      <c r="D15" s="155"/>
      <c r="E15" s="156"/>
      <c r="F15" s="15" t="s">
        <v>511</v>
      </c>
    </row>
    <row r="16" spans="1:17" ht="19.95" customHeight="1" x14ac:dyDescent="0.3">
      <c r="D16" s="155">
        <v>2</v>
      </c>
      <c r="E16" s="5" t="s">
        <v>484</v>
      </c>
    </row>
    <row r="17" spans="4:6" ht="19.95" customHeight="1" x14ac:dyDescent="0.3">
      <c r="D17" s="155"/>
      <c r="E17" s="156"/>
      <c r="F17" s="15" t="s">
        <v>485</v>
      </c>
    </row>
    <row r="18" spans="4:6" ht="19.95" customHeight="1" x14ac:dyDescent="0.3">
      <c r="D18" s="155"/>
      <c r="E18" s="156"/>
      <c r="F18" s="15" t="s">
        <v>486</v>
      </c>
    </row>
    <row r="19" spans="4:6" ht="19.95" customHeight="1" x14ac:dyDescent="0.3">
      <c r="D19" s="155">
        <v>3</v>
      </c>
      <c r="E19" s="156" t="s">
        <v>487</v>
      </c>
    </row>
    <row r="20" spans="4:6" ht="19.95" customHeight="1" x14ac:dyDescent="0.3">
      <c r="D20" s="155"/>
      <c r="E20" s="156"/>
      <c r="F20" s="15" t="s">
        <v>502</v>
      </c>
    </row>
    <row r="21" spans="4:6" ht="19.95" customHeight="1" x14ac:dyDescent="0.3">
      <c r="D21" s="155"/>
      <c r="E21" s="156"/>
      <c r="F21" s="15" t="s">
        <v>512</v>
      </c>
    </row>
    <row r="22" spans="4:6" ht="19.95" customHeight="1" x14ac:dyDescent="0.3">
      <c r="D22" s="155"/>
      <c r="E22" s="156"/>
      <c r="F22" s="15" t="str">
        <f>"forms to the "&amp;Tables!$F$23&amp;" as intended.  The "&amp;Tables!$F$23&amp;" may host and distribute the unmodified Tool to prospective submitters for"</f>
        <v>forms to the City as intended.  The City may host and distribute the unmodified Tool to prospective submitters for</v>
      </c>
    </row>
    <row r="23" spans="4:6" ht="19.95" customHeight="1" x14ac:dyDescent="0.3">
      <c r="D23" s="155"/>
      <c r="E23" s="156"/>
      <c r="F23" s="15" t="s">
        <v>513</v>
      </c>
    </row>
    <row r="24" spans="4:6" ht="19.95" customHeight="1" x14ac:dyDescent="0.3">
      <c r="D24" s="155">
        <v>4</v>
      </c>
      <c r="E24" s="156" t="s">
        <v>488</v>
      </c>
    </row>
    <row r="25" spans="4:6" ht="19.95" customHeight="1" x14ac:dyDescent="0.3">
      <c r="D25" s="155"/>
      <c r="E25" s="156"/>
      <c r="F25" s="15" t="s">
        <v>503</v>
      </c>
    </row>
    <row r="26" spans="4:6" ht="19.95" customHeight="1" x14ac:dyDescent="0.3">
      <c r="D26" s="155"/>
      <c r="E26" s="156"/>
      <c r="F26" s="15" t="s">
        <v>514</v>
      </c>
    </row>
    <row r="27" spans="4:6" ht="19.95" customHeight="1" x14ac:dyDescent="0.3">
      <c r="D27" s="155"/>
      <c r="E27" s="156"/>
      <c r="F27" s="15" t="s">
        <v>515</v>
      </c>
    </row>
    <row r="28" spans="4:6" ht="19.95" customHeight="1" x14ac:dyDescent="0.3">
      <c r="D28" s="155">
        <v>5</v>
      </c>
      <c r="E28" s="156" t="s">
        <v>489</v>
      </c>
    </row>
    <row r="29" spans="4:6" ht="19.95" customHeight="1" x14ac:dyDescent="0.3">
      <c r="D29" s="155"/>
      <c r="E29" s="156"/>
      <c r="F29" s="15" t="str">
        <f>"Outputs and application materials generated with the Tool may be public records of "&amp;Tables!$F$38&amp;"; the Tool itself"</f>
        <v>Outputs and application materials generated with the Tool may be public records of the City of Prattville; the Tool itself</v>
      </c>
    </row>
    <row r="30" spans="4:6" ht="19.95" customHeight="1" x14ac:dyDescent="0.3">
      <c r="D30" s="155"/>
      <c r="E30" s="156"/>
      <c r="F30" s="15" t="s">
        <v>516</v>
      </c>
    </row>
    <row r="31" spans="4:6" ht="19.95" customHeight="1" x14ac:dyDescent="0.3">
      <c r="D31" s="155">
        <v>6</v>
      </c>
      <c r="E31" s="156" t="s">
        <v>517</v>
      </c>
    </row>
    <row r="32" spans="4:6" ht="19.95" customHeight="1" x14ac:dyDescent="0.3">
      <c r="D32" s="155"/>
      <c r="E32" s="156"/>
      <c r="F32" s="15" t="str">
        <f>"The Tool is a convenience aid and does not constitute engineering, legal or compliance advice. The "&amp;Tables!$F$38&amp;"'s standards and"</f>
        <v>The Tool is a convenience aid and does not constitute engineering, legal or compliance advice. The the City of Prattville's standards and</v>
      </c>
    </row>
    <row r="33" spans="4:6" ht="19.95" customHeight="1" x14ac:dyDescent="0.3">
      <c r="D33" s="155"/>
      <c r="E33" s="156"/>
      <c r="F33" s="15" t="s">
        <v>518</v>
      </c>
    </row>
    <row r="34" spans="4:6" ht="19.95" customHeight="1" x14ac:dyDescent="0.3">
      <c r="D34" s="155">
        <v>7</v>
      </c>
      <c r="E34" s="156" t="s">
        <v>490</v>
      </c>
    </row>
    <row r="35" spans="4:6" ht="19.95" customHeight="1" x14ac:dyDescent="0.3">
      <c r="D35" s="155"/>
      <c r="E35" s="156"/>
      <c r="F35" s="15" t="s">
        <v>519</v>
      </c>
    </row>
    <row r="36" spans="4:6" ht="19.95" customHeight="1" x14ac:dyDescent="0.3">
      <c r="D36" s="155"/>
      <c r="E36" s="156"/>
      <c r="F36" s="15" t="s">
        <v>520</v>
      </c>
    </row>
    <row r="37" spans="4:6" ht="19.95" customHeight="1" x14ac:dyDescent="0.3">
      <c r="D37" s="155"/>
      <c r="E37" s="156"/>
      <c r="F37" s="15" t="s">
        <v>504</v>
      </c>
    </row>
    <row r="38" spans="4:6" ht="19.95" customHeight="1" x14ac:dyDescent="0.3">
      <c r="D38" s="155">
        <v>8</v>
      </c>
      <c r="E38" s="156" t="s">
        <v>491</v>
      </c>
    </row>
    <row r="39" spans="4:6" ht="19.95" customHeight="1" x14ac:dyDescent="0.3">
      <c r="D39" s="155"/>
      <c r="E39" s="156"/>
      <c r="F39" s="15" t="s">
        <v>492</v>
      </c>
    </row>
    <row r="40" spans="4:6" ht="19.95" customHeight="1" x14ac:dyDescent="0.3">
      <c r="D40" s="155"/>
      <c r="E40" s="156"/>
      <c r="F40" s="15" t="s">
        <v>493</v>
      </c>
    </row>
    <row r="41" spans="4:6" ht="19.95" customHeight="1" x14ac:dyDescent="0.3">
      <c r="D41" s="155">
        <v>9</v>
      </c>
      <c r="E41" s="156" t="s">
        <v>521</v>
      </c>
    </row>
    <row r="42" spans="4:6" ht="19.95" customHeight="1" x14ac:dyDescent="0.3">
      <c r="D42" s="155"/>
      <c r="E42" s="156"/>
      <c r="F42" s="15" t="s">
        <v>522</v>
      </c>
    </row>
    <row r="43" spans="4:6" ht="19.95" customHeight="1" x14ac:dyDescent="0.3">
      <c r="D43" s="155">
        <v>10</v>
      </c>
      <c r="E43" s="156" t="s">
        <v>523</v>
      </c>
    </row>
    <row r="44" spans="4:6" ht="19.95" customHeight="1" x14ac:dyDescent="0.3">
      <c r="D44" s="155"/>
      <c r="E44" s="156"/>
      <c r="F44" s="15" t="s">
        <v>524</v>
      </c>
    </row>
    <row r="45" spans="4:6" ht="19.95" customHeight="1" x14ac:dyDescent="0.3">
      <c r="D45" s="155"/>
      <c r="E45" s="156"/>
      <c r="F45" s="15" t="s">
        <v>525</v>
      </c>
    </row>
    <row r="46" spans="4:6" ht="19.95" customHeight="1" x14ac:dyDescent="0.3">
      <c r="D46" s="155">
        <v>11</v>
      </c>
      <c r="E46" s="156" t="s">
        <v>526</v>
      </c>
    </row>
    <row r="47" spans="4:6" ht="19.95" customHeight="1" x14ac:dyDescent="0.3">
      <c r="D47" s="155"/>
      <c r="E47" s="156"/>
      <c r="F47" s="15" t="s">
        <v>527</v>
      </c>
    </row>
    <row r="48" spans="4:6" ht="19.95" customHeight="1" x14ac:dyDescent="0.3">
      <c r="D48" s="155"/>
      <c r="E48" s="156"/>
      <c r="F48" s="15" t="s">
        <v>528</v>
      </c>
    </row>
    <row r="49" spans="4:6" ht="19.95" customHeight="1" x14ac:dyDescent="0.3">
      <c r="D49" s="155"/>
      <c r="E49" s="156"/>
      <c r="F49" s="15" t="s">
        <v>529</v>
      </c>
    </row>
    <row r="50" spans="4:6" ht="19.95" customHeight="1" x14ac:dyDescent="0.3">
      <c r="D50" s="155"/>
      <c r="E50" s="156"/>
      <c r="F50" s="15" t="s">
        <v>530</v>
      </c>
    </row>
    <row r="51" spans="4:6" ht="19.95" customHeight="1" x14ac:dyDescent="0.3">
      <c r="D51" s="155">
        <v>12</v>
      </c>
      <c r="E51" s="156" t="s">
        <v>494</v>
      </c>
    </row>
    <row r="52" spans="4:6" ht="19.95" customHeight="1" x14ac:dyDescent="0.3">
      <c r="D52" s="155"/>
      <c r="E52" s="156"/>
      <c r="F52" s="15" t="s">
        <v>531</v>
      </c>
    </row>
    <row r="53" spans="4:6" ht="19.95" customHeight="1" x14ac:dyDescent="0.3">
      <c r="D53" s="155"/>
      <c r="E53" s="156"/>
    </row>
    <row r="54" spans="4:6" ht="19.95" customHeight="1" x14ac:dyDescent="0.3">
      <c r="D54" s="155"/>
      <c r="E54" s="156"/>
    </row>
    <row r="55" spans="4:6" ht="19.95" customHeight="1" x14ac:dyDescent="0.3">
      <c r="D55" s="155"/>
      <c r="E55" s="156"/>
    </row>
    <row r="56" spans="4:6" ht="19.95" customHeight="1" x14ac:dyDescent="0.3">
      <c r="D56" s="155"/>
      <c r="E56" s="156"/>
    </row>
    <row r="57" spans="4:6" ht="19.95" customHeight="1" x14ac:dyDescent="0.3">
      <c r="D57" s="155"/>
      <c r="E57" s="156"/>
    </row>
    <row r="58" spans="4:6" ht="19.95" customHeight="1" x14ac:dyDescent="0.3">
      <c r="D58" s="155"/>
      <c r="E58" s="156"/>
    </row>
    <row r="59" spans="4:6" ht="19.95" customHeight="1" x14ac:dyDescent="0.3">
      <c r="D59" s="155"/>
      <c r="E59" s="156"/>
    </row>
    <row r="60" spans="4:6" ht="19.95" customHeight="1" x14ac:dyDescent="0.3">
      <c r="D60" s="155"/>
      <c r="E60" s="156"/>
    </row>
    <row r="61" spans="4:6" ht="19.95" customHeight="1" x14ac:dyDescent="0.3">
      <c r="D61" s="155"/>
      <c r="E61" s="156"/>
    </row>
    <row r="62" spans="4:6" ht="19.95" customHeight="1" x14ac:dyDescent="0.3">
      <c r="D62" s="155"/>
      <c r="E62" s="156"/>
    </row>
  </sheetData>
  <sheetProtection algorithmName="SHA-512" hashValue="hmnUCiBKu4upv3Zhlz8MCxAr1YYDxeZATLNouvp479uRHRpcUPV/rosDZcA2ivm7QVWpvc4PqIl7vET0yZ/26w==" saltValue="Gf4RZLpwFKT7h8EQJgpqhw==" spinCount="100000" sheet="1" objects="1" scenarios="1" selectLockedCells="1"/>
  <mergeCells count="3">
    <mergeCell ref="O1:P1"/>
    <mergeCell ref="O2:P2"/>
    <mergeCell ref="F3:H3"/>
  </mergeCells>
  <conditionalFormatting sqref="F2">
    <cfRule type="expression" dxfId="357" priority="2048">
      <formula>$A$2=2</formula>
    </cfRule>
  </conditionalFormatting>
  <conditionalFormatting sqref="F3:H3">
    <cfRule type="expression" dxfId="356" priority="2049">
      <formula>$A$3=2</formula>
    </cfRule>
    <cfRule type="expression" dxfId="355" priority="2050">
      <formula>$A$3=2</formula>
    </cfRule>
  </conditionalFormatting>
  <pageMargins left="0.2" right="0.2" top="0.5" bottom="0.25" header="0.3" footer="0.3"/>
  <pageSetup scale="97"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BFF91706-DD8D-4D6D-AA10-51DF7617D45E}">
          <x14:formula1>
            <xm:f>Tables!$B$12:$B$14</xm:f>
          </x14:formula1>
          <xm:sqref>F2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3555A-289A-4F59-BCCB-C7A8343DB88B}">
  <sheetPr codeName="Sheet1">
    <tabColor theme="2" tint="-0.499984740745262"/>
    <pageSetUpPr fitToPage="1"/>
  </sheetPr>
  <dimension ref="A1:V57"/>
  <sheetViews>
    <sheetView showGridLines="0" showRowColHeaders="0" zoomScale="130" zoomScaleNormal="130" workbookViewId="0"/>
  </sheetViews>
  <sheetFormatPr defaultColWidth="0" defaultRowHeight="0" customHeight="1" zeroHeight="1" x14ac:dyDescent="0.3"/>
  <cols>
    <col min="1" max="1" width="2.77734375" style="15" customWidth="1"/>
    <col min="2" max="2" width="5.77734375" style="14" customWidth="1"/>
    <col min="3" max="8" width="2.77734375" style="15" customWidth="1"/>
    <col min="9" max="10" width="8.88671875" style="15" customWidth="1"/>
    <col min="11" max="11" width="20.77734375" style="15" customWidth="1"/>
    <col min="12" max="19" width="8.88671875" style="15" customWidth="1"/>
    <col min="20" max="20" width="0" style="15" hidden="1" customWidth="1"/>
    <col min="21" max="21" width="8.88671875" style="15" hidden="1" customWidth="1"/>
    <col min="22" max="22" width="0" style="15" hidden="1" customWidth="1"/>
    <col min="23" max="16384" width="8.88671875" style="15" hidden="1"/>
  </cols>
  <sheetData>
    <row r="1" spans="2:17" ht="19.95" customHeight="1" x14ac:dyDescent="0.3"/>
    <row r="2" spans="2:17" ht="19.95" customHeight="1" x14ac:dyDescent="0.3">
      <c r="B2" s="54" t="s">
        <v>64</v>
      </c>
    </row>
    <row r="3" spans="2:17" ht="4.95" customHeight="1" x14ac:dyDescent="0.3">
      <c r="B3" s="54"/>
    </row>
    <row r="4" spans="2:17" ht="19.95" customHeight="1" x14ac:dyDescent="0.3">
      <c r="B4" s="14">
        <v>1</v>
      </c>
      <c r="C4" s="172" t="s">
        <v>291</v>
      </c>
      <c r="D4" s="172"/>
      <c r="E4" s="172"/>
      <c r="F4" s="172"/>
      <c r="G4" s="172"/>
      <c r="H4" s="172"/>
      <c r="I4" s="172"/>
      <c r="J4" s="172"/>
      <c r="K4" s="172"/>
      <c r="L4" s="172"/>
      <c r="M4" s="172"/>
      <c r="N4" s="172"/>
      <c r="O4" s="172"/>
      <c r="P4" s="172"/>
      <c r="Q4" s="172"/>
    </row>
    <row r="5" spans="2:17" ht="19.95" customHeight="1" x14ac:dyDescent="0.3">
      <c r="C5" s="172"/>
      <c r="D5" s="172"/>
      <c r="E5" s="172"/>
      <c r="F5" s="172"/>
      <c r="G5" s="172"/>
      <c r="H5" s="172"/>
      <c r="I5" s="172"/>
      <c r="J5" s="172"/>
      <c r="K5" s="172"/>
      <c r="L5" s="172"/>
      <c r="M5" s="172"/>
      <c r="N5" s="172"/>
      <c r="O5" s="172"/>
      <c r="P5" s="172"/>
      <c r="Q5" s="172"/>
    </row>
    <row r="6" spans="2:17" ht="19.95" customHeight="1" x14ac:dyDescent="0.3">
      <c r="B6" s="14">
        <f>B4+1</f>
        <v>2</v>
      </c>
      <c r="C6" s="15" t="s">
        <v>66</v>
      </c>
    </row>
    <row r="7" spans="2:17" ht="19.95" customHeight="1" x14ac:dyDescent="0.3">
      <c r="C7" s="16"/>
      <c r="D7" s="16"/>
      <c r="E7" s="16"/>
      <c r="F7" s="16"/>
      <c r="I7" s="15" t="s">
        <v>63</v>
      </c>
    </row>
    <row r="8" spans="2:17" ht="10.050000000000001" customHeight="1" x14ac:dyDescent="0.3"/>
    <row r="9" spans="2:17" ht="15" customHeight="1" x14ac:dyDescent="0.3">
      <c r="C9" s="17"/>
      <c r="D9" s="17"/>
      <c r="E9" s="17"/>
      <c r="F9" s="17"/>
      <c r="I9" s="171" t="s">
        <v>277</v>
      </c>
      <c r="J9" s="171"/>
      <c r="K9" s="171"/>
      <c r="L9" s="171"/>
      <c r="M9" s="171"/>
      <c r="N9" s="171"/>
      <c r="O9" s="171"/>
      <c r="P9" s="171"/>
      <c r="Q9" s="171"/>
    </row>
    <row r="10" spans="2:17" ht="15" customHeight="1" x14ac:dyDescent="0.3">
      <c r="I10" s="171"/>
      <c r="J10" s="171"/>
      <c r="K10" s="171"/>
      <c r="L10" s="171"/>
      <c r="M10" s="171"/>
      <c r="N10" s="171"/>
      <c r="O10" s="171"/>
      <c r="P10" s="171"/>
      <c r="Q10" s="171"/>
    </row>
    <row r="11" spans="2:17" ht="10.050000000000001" customHeight="1" x14ac:dyDescent="0.3">
      <c r="I11" s="58"/>
      <c r="J11" s="58"/>
      <c r="K11" s="58"/>
      <c r="L11" s="58"/>
      <c r="M11" s="58"/>
      <c r="N11" s="58"/>
      <c r="O11" s="58"/>
      <c r="P11" s="58"/>
      <c r="Q11" s="58"/>
    </row>
    <row r="12" spans="2:17" ht="15" customHeight="1" x14ac:dyDescent="0.3">
      <c r="F12" s="21"/>
      <c r="I12" s="171" t="s">
        <v>237</v>
      </c>
      <c r="J12" s="171"/>
      <c r="K12" s="171"/>
      <c r="L12" s="171"/>
      <c r="M12" s="171"/>
      <c r="N12" s="171"/>
      <c r="O12" s="171"/>
      <c r="P12" s="171"/>
      <c r="Q12" s="171"/>
    </row>
    <row r="13" spans="2:17" ht="15" customHeight="1" x14ac:dyDescent="0.3">
      <c r="I13" s="171"/>
      <c r="J13" s="171"/>
      <c r="K13" s="171"/>
      <c r="L13" s="171"/>
      <c r="M13" s="171"/>
      <c r="N13" s="171"/>
      <c r="O13" s="171"/>
      <c r="P13" s="171"/>
      <c r="Q13" s="171"/>
    </row>
    <row r="14" spans="2:17" ht="15" customHeight="1" x14ac:dyDescent="0.3">
      <c r="I14" s="171"/>
      <c r="J14" s="171"/>
      <c r="K14" s="171"/>
      <c r="L14" s="171"/>
      <c r="M14" s="171"/>
      <c r="N14" s="171"/>
      <c r="O14" s="171"/>
      <c r="P14" s="171"/>
      <c r="Q14" s="171"/>
    </row>
    <row r="15" spans="2:17" ht="15" customHeight="1" x14ac:dyDescent="0.3">
      <c r="I15" s="171"/>
      <c r="J15" s="171"/>
      <c r="K15" s="171"/>
      <c r="L15" s="171"/>
      <c r="M15" s="171"/>
      <c r="N15" s="171"/>
      <c r="O15" s="171"/>
      <c r="P15" s="171"/>
      <c r="Q15" s="171"/>
    </row>
    <row r="16" spans="2:17" ht="10.050000000000001" customHeight="1" x14ac:dyDescent="0.3">
      <c r="I16" s="59"/>
      <c r="J16" s="59"/>
      <c r="K16" s="59"/>
      <c r="L16" s="59"/>
      <c r="M16" s="59"/>
      <c r="N16" s="59"/>
      <c r="O16" s="59"/>
      <c r="P16" s="59"/>
      <c r="Q16" s="59"/>
    </row>
    <row r="17" spans="3:17" ht="15" customHeight="1" x14ac:dyDescent="0.3">
      <c r="C17" s="21"/>
      <c r="D17" s="28" t="s">
        <v>115</v>
      </c>
      <c r="E17" s="28"/>
      <c r="F17" s="21"/>
      <c r="G17" s="28" t="s">
        <v>116</v>
      </c>
      <c r="I17" s="171" t="s">
        <v>179</v>
      </c>
      <c r="J17" s="171"/>
      <c r="K17" s="171"/>
      <c r="L17" s="171"/>
      <c r="M17" s="171"/>
      <c r="N17" s="171"/>
      <c r="O17" s="171"/>
      <c r="P17" s="171"/>
      <c r="Q17" s="171"/>
    </row>
    <row r="18" spans="3:17" ht="15" customHeight="1" x14ac:dyDescent="0.3">
      <c r="I18" s="171"/>
      <c r="J18" s="171"/>
      <c r="K18" s="171"/>
      <c r="L18" s="171"/>
      <c r="M18" s="171"/>
      <c r="N18" s="171"/>
      <c r="O18" s="171"/>
      <c r="P18" s="171"/>
      <c r="Q18" s="171"/>
    </row>
    <row r="19" spans="3:17" ht="10.050000000000001" customHeight="1" x14ac:dyDescent="0.3"/>
    <row r="20" spans="3:17" ht="15" customHeight="1" x14ac:dyDescent="0.3">
      <c r="C20" s="18"/>
      <c r="D20" s="18"/>
      <c r="E20" s="18"/>
      <c r="F20" s="18"/>
      <c r="I20" s="171" t="s">
        <v>65</v>
      </c>
      <c r="J20" s="171"/>
      <c r="K20" s="171"/>
      <c r="L20" s="171"/>
      <c r="M20" s="171"/>
      <c r="N20" s="171"/>
      <c r="O20" s="171"/>
      <c r="P20" s="171"/>
      <c r="Q20" s="171"/>
    </row>
    <row r="21" spans="3:17" ht="15" customHeight="1" x14ac:dyDescent="0.3">
      <c r="I21" s="171"/>
      <c r="J21" s="171"/>
      <c r="K21" s="171"/>
      <c r="L21" s="171"/>
      <c r="M21" s="171"/>
      <c r="N21" s="171"/>
      <c r="O21" s="171"/>
      <c r="P21" s="171"/>
      <c r="Q21" s="171"/>
    </row>
    <row r="22" spans="3:17" ht="15" customHeight="1" x14ac:dyDescent="0.3">
      <c r="I22" s="171"/>
      <c r="J22" s="171"/>
      <c r="K22" s="171"/>
      <c r="L22" s="171"/>
      <c r="M22" s="171"/>
      <c r="N22" s="171"/>
      <c r="O22" s="171"/>
      <c r="P22" s="171"/>
      <c r="Q22" s="171"/>
    </row>
    <row r="23" spans="3:17" ht="19.95" customHeight="1" x14ac:dyDescent="0.3">
      <c r="I23" s="171"/>
      <c r="J23" s="171"/>
      <c r="K23" s="171"/>
      <c r="L23" s="171"/>
      <c r="M23" s="171"/>
      <c r="N23" s="171"/>
      <c r="O23" s="171"/>
      <c r="P23" s="171"/>
      <c r="Q23" s="171"/>
    </row>
    <row r="24" spans="3:17" ht="10.050000000000001" customHeight="1" x14ac:dyDescent="0.3">
      <c r="I24" s="59"/>
      <c r="J24" s="59"/>
      <c r="K24" s="59"/>
      <c r="L24" s="59"/>
      <c r="M24" s="59"/>
      <c r="N24" s="59"/>
      <c r="O24" s="59"/>
      <c r="P24" s="59"/>
      <c r="Q24" s="59"/>
    </row>
    <row r="25" spans="3:17" ht="15" customHeight="1" x14ac:dyDescent="0.3">
      <c r="C25" s="19"/>
      <c r="D25" s="19"/>
      <c r="E25" s="19"/>
      <c r="F25" s="19"/>
      <c r="I25" s="171" t="s">
        <v>108</v>
      </c>
      <c r="J25" s="171"/>
      <c r="K25" s="171"/>
      <c r="L25" s="171"/>
      <c r="M25" s="171"/>
      <c r="N25" s="171"/>
      <c r="O25" s="171"/>
      <c r="P25" s="171"/>
      <c r="Q25" s="171"/>
    </row>
    <row r="26" spans="3:17" ht="15" customHeight="1" x14ac:dyDescent="0.3">
      <c r="I26" s="171"/>
      <c r="J26" s="171"/>
      <c r="K26" s="171"/>
      <c r="L26" s="171"/>
      <c r="M26" s="171"/>
      <c r="N26" s="171"/>
      <c r="O26" s="171"/>
      <c r="P26" s="171"/>
      <c r="Q26" s="171"/>
    </row>
    <row r="27" spans="3:17" ht="10.050000000000001" customHeight="1" x14ac:dyDescent="0.3"/>
    <row r="28" spans="3:17" ht="19.95" customHeight="1" x14ac:dyDescent="0.3">
      <c r="C28" s="20" t="s">
        <v>29</v>
      </c>
      <c r="D28" s="20"/>
      <c r="E28" s="20"/>
      <c r="F28" s="20"/>
      <c r="I28" s="15" t="s">
        <v>292</v>
      </c>
    </row>
    <row r="29" spans="3:17" ht="10.050000000000001" customHeight="1" x14ac:dyDescent="0.3"/>
    <row r="30" spans="3:17" ht="19.95" customHeight="1" x14ac:dyDescent="0.3">
      <c r="C30" s="5" t="s">
        <v>31</v>
      </c>
      <c r="D30" s="5"/>
      <c r="E30" s="5"/>
      <c r="F30" s="5"/>
      <c r="I30" s="15" t="s">
        <v>68</v>
      </c>
    </row>
    <row r="31" spans="3:17" ht="10.050000000000001" customHeight="1" x14ac:dyDescent="0.3"/>
    <row r="32" spans="3:17" ht="19.95" customHeight="1" x14ac:dyDescent="0.3">
      <c r="C32" s="5" t="s">
        <v>21</v>
      </c>
      <c r="D32" s="5"/>
      <c r="E32" s="5"/>
      <c r="F32" s="5"/>
      <c r="I32" s="15" t="s">
        <v>109</v>
      </c>
    </row>
    <row r="33" spans="2:17" ht="10.050000000000001" customHeight="1" x14ac:dyDescent="0.3"/>
    <row r="34" spans="2:17" ht="19.95" customHeight="1" x14ac:dyDescent="0.3">
      <c r="B34" s="14">
        <f>B6+1</f>
        <v>3</v>
      </c>
      <c r="C34" s="15" t="s">
        <v>239</v>
      </c>
    </row>
    <row r="35" spans="2:17" ht="19.95" customHeight="1" x14ac:dyDescent="0.3">
      <c r="B35" s="14">
        <f>B34+1</f>
        <v>4</v>
      </c>
      <c r="C35" s="171" t="s">
        <v>238</v>
      </c>
      <c r="D35" s="171"/>
      <c r="E35" s="171"/>
      <c r="F35" s="171"/>
      <c r="G35" s="171"/>
      <c r="H35" s="171"/>
      <c r="I35" s="171"/>
      <c r="J35" s="171"/>
      <c r="K35" s="171"/>
      <c r="L35" s="171"/>
      <c r="M35" s="171"/>
      <c r="N35" s="171"/>
      <c r="O35" s="171"/>
      <c r="P35" s="171"/>
      <c r="Q35" s="171"/>
    </row>
    <row r="36" spans="2:17" ht="15" customHeight="1" x14ac:dyDescent="0.3">
      <c r="C36" s="171"/>
      <c r="D36" s="171"/>
      <c r="E36" s="171"/>
      <c r="F36" s="171"/>
      <c r="G36" s="171"/>
      <c r="H36" s="171"/>
      <c r="I36" s="171"/>
      <c r="J36" s="171"/>
      <c r="K36" s="171"/>
      <c r="L36" s="171"/>
      <c r="M36" s="171"/>
      <c r="N36" s="171"/>
      <c r="O36" s="171"/>
      <c r="P36" s="171"/>
      <c r="Q36" s="171"/>
    </row>
    <row r="37" spans="2:17" ht="19.95" customHeight="1" x14ac:dyDescent="0.3">
      <c r="B37" s="14">
        <v>5</v>
      </c>
      <c r="C37" s="172" t="s">
        <v>180</v>
      </c>
      <c r="D37" s="172"/>
      <c r="E37" s="172"/>
      <c r="F37" s="172"/>
      <c r="G37" s="172"/>
      <c r="H37" s="172"/>
      <c r="I37" s="172"/>
      <c r="J37" s="172"/>
      <c r="K37" s="172"/>
      <c r="L37" s="172"/>
      <c r="M37" s="172"/>
      <c r="N37" s="172"/>
      <c r="O37" s="172"/>
      <c r="P37" s="172"/>
      <c r="Q37" s="172"/>
    </row>
    <row r="38" spans="2:17" ht="19.95" customHeight="1" x14ac:dyDescent="0.3">
      <c r="C38" s="172"/>
      <c r="D38" s="172"/>
      <c r="E38" s="172"/>
      <c r="F38" s="172"/>
      <c r="G38" s="172"/>
      <c r="H38" s="172"/>
      <c r="I38" s="172"/>
      <c r="J38" s="172"/>
      <c r="K38" s="172"/>
      <c r="L38" s="172"/>
      <c r="M38" s="172"/>
      <c r="N38" s="172"/>
      <c r="O38" s="172"/>
      <c r="P38" s="172"/>
      <c r="Q38" s="172"/>
    </row>
    <row r="39" spans="2:17" ht="12" customHeight="1" x14ac:dyDescent="0.3">
      <c r="C39" s="172"/>
      <c r="D39" s="172"/>
      <c r="E39" s="172"/>
      <c r="F39" s="172"/>
      <c r="G39" s="172"/>
      <c r="H39" s="172"/>
      <c r="I39" s="172"/>
      <c r="J39" s="172"/>
      <c r="K39" s="172"/>
      <c r="L39" s="172"/>
      <c r="M39" s="172"/>
      <c r="N39" s="172"/>
      <c r="O39" s="172"/>
      <c r="P39" s="172"/>
      <c r="Q39" s="172"/>
    </row>
    <row r="40" spans="2:17" ht="19.95" customHeight="1" x14ac:dyDescent="0.3">
      <c r="B40" s="14">
        <v>6</v>
      </c>
      <c r="C40" s="15" t="s">
        <v>264</v>
      </c>
    </row>
    <row r="41" spans="2:17" ht="19.95" customHeight="1" x14ac:dyDescent="0.3"/>
    <row r="42" spans="2:17" ht="19.95" customHeight="1" x14ac:dyDescent="0.3"/>
    <row r="43" spans="2:17" ht="19.95" customHeight="1" x14ac:dyDescent="0.3"/>
    <row r="44" spans="2:17" ht="19.95" customHeight="1" x14ac:dyDescent="0.3"/>
    <row r="45" spans="2:17" ht="19.95" customHeight="1" x14ac:dyDescent="0.3"/>
    <row r="46" spans="2:17" ht="19.95" customHeight="1" x14ac:dyDescent="0.3"/>
    <row r="47" spans="2:17" ht="19.95" customHeight="1" x14ac:dyDescent="0.3"/>
    <row r="48" spans="2:17" ht="19.95" customHeight="1" x14ac:dyDescent="0.3"/>
    <row r="49" ht="19.95" customHeight="1" x14ac:dyDescent="0.3"/>
    <row r="50" ht="19.95" customHeight="1" x14ac:dyDescent="0.3"/>
    <row r="51" ht="19.95" customHeight="1" x14ac:dyDescent="0.3"/>
    <row r="52" ht="19.95" customHeight="1" x14ac:dyDescent="0.3"/>
    <row r="53" ht="19.95" customHeight="1" x14ac:dyDescent="0.3"/>
    <row r="54" ht="19.95" customHeight="1" x14ac:dyDescent="0.3"/>
    <row r="55" ht="19.95" customHeight="1" x14ac:dyDescent="0.3"/>
    <row r="56" ht="19.95" customHeight="1" x14ac:dyDescent="0.3"/>
    <row r="57" ht="19.95" customHeight="1" x14ac:dyDescent="0.3"/>
  </sheetData>
  <sheetProtection algorithmName="SHA-512" hashValue="w1UV+Z9h51hVf3RBT4mwGlaCwY25Ms2sa4dX4k3zhSVagS9hOklcHuW9JPdZeQCZfiY4m8FsbBOeNzshPkPSSA==" saltValue="Sry06anghnX8KeI5vjZUlQ==" spinCount="100000" sheet="1" objects="1" scenarios="1" selectLockedCells="1"/>
  <mergeCells count="8">
    <mergeCell ref="I25:Q26"/>
    <mergeCell ref="C35:Q36"/>
    <mergeCell ref="C37:Q39"/>
    <mergeCell ref="C4:Q5"/>
    <mergeCell ref="I9:Q10"/>
    <mergeCell ref="I12:Q15"/>
    <mergeCell ref="I17:Q18"/>
    <mergeCell ref="I20:Q23"/>
  </mergeCells>
  <conditionalFormatting sqref="C17">
    <cfRule type="expression" dxfId="354" priority="5">
      <formula>ISBLANK(C17)</formula>
    </cfRule>
  </conditionalFormatting>
  <conditionalFormatting sqref="C9:F9">
    <cfRule type="expression" dxfId="353" priority="7">
      <formula>ISBLANK(C9)</formula>
    </cfRule>
  </conditionalFormatting>
  <conditionalFormatting sqref="F12">
    <cfRule type="expression" dxfId="352" priority="6">
      <formula>ISBLANK(F12)</formula>
    </cfRule>
  </conditionalFormatting>
  <conditionalFormatting sqref="F17">
    <cfRule type="expression" dxfId="351" priority="4">
      <formula>ISBLANK(F17)</formula>
    </cfRule>
  </conditionalFormatting>
  <pageMargins left="0.2" right="0.2" top="0.5" bottom="0.25" header="0.3" footer="0.3"/>
  <pageSetup scale="97"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84A4D9AC-E984-4712-9805-DFA33EE02DD6}">
          <x14:formula1>
            <xm:f>Tables!$H$2:$H$4</xm:f>
          </x14:formula1>
          <xm:sqref>C28:F28</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5BCFA-678D-4F47-972D-31E458267710}">
  <sheetPr codeName="Sheet5">
    <tabColor theme="9" tint="0.39997558519241921"/>
  </sheetPr>
  <dimension ref="A1:CM259"/>
  <sheetViews>
    <sheetView showGridLines="0" showRowColHeaders="0" showZeros="0" zoomScale="150" zoomScaleNormal="150" workbookViewId="0">
      <selection activeCell="AC6" sqref="AC6:AJ6"/>
    </sheetView>
  </sheetViews>
  <sheetFormatPr defaultColWidth="0" defaultRowHeight="0" customHeight="1" zeroHeight="1" x14ac:dyDescent="0.3"/>
  <cols>
    <col min="1" max="1" width="1.77734375" style="28" customWidth="1"/>
    <col min="2" max="36" width="2.77734375" style="28" customWidth="1"/>
    <col min="37" max="37" width="1.77734375" style="28" customWidth="1"/>
    <col min="38" max="38" width="13.21875" style="13" hidden="1" customWidth="1"/>
    <col min="39" max="39" width="16.21875" style="13" hidden="1" customWidth="1"/>
    <col min="40" max="40" width="10.109375" style="13" hidden="1" customWidth="1"/>
    <col min="41" max="41" width="20" style="13" hidden="1" customWidth="1"/>
    <col min="42" max="42" width="7.77734375" style="13" hidden="1" customWidth="1"/>
    <col min="43" max="43" width="9.21875" style="13" hidden="1" customWidth="1"/>
    <col min="44" max="44" width="20.77734375" style="13" hidden="1" customWidth="1"/>
    <col min="45" max="45" width="20" style="13" hidden="1" customWidth="1"/>
    <col min="46" max="46" width="7.21875" style="13" hidden="1" customWidth="1"/>
    <col min="47" max="47" width="2.77734375" style="28" customWidth="1"/>
    <col min="48" max="48" width="3.77734375" style="28" customWidth="1"/>
    <col min="49" max="80" width="2.77734375" style="28" customWidth="1"/>
    <col min="81" max="82" width="8.88671875" style="28" customWidth="1"/>
    <col min="83" max="84" width="8.88671875" style="28" hidden="1" customWidth="1"/>
    <col min="85" max="91" width="0" style="28" hidden="1" customWidth="1"/>
    <col min="92" max="16384" width="8.88671875" style="28" hidden="1"/>
  </cols>
  <sheetData>
    <row r="1" spans="2:91" ht="15" customHeight="1" x14ac:dyDescent="0.3">
      <c r="O1" s="3"/>
      <c r="P1" s="3"/>
      <c r="Q1" s="3"/>
      <c r="R1" s="224" t="s">
        <v>344</v>
      </c>
      <c r="S1" s="224"/>
      <c r="T1" s="224"/>
      <c r="U1" s="224"/>
      <c r="V1" s="224"/>
      <c r="W1" s="224"/>
      <c r="X1" s="224"/>
      <c r="Y1" s="224"/>
      <c r="Z1" s="224"/>
      <c r="AA1" s="224"/>
      <c r="AB1" s="224"/>
      <c r="AC1" s="224"/>
      <c r="AD1" s="224"/>
      <c r="AE1" s="224"/>
      <c r="AF1" s="224"/>
      <c r="AG1" s="224"/>
      <c r="AH1" s="224"/>
      <c r="AI1" s="224"/>
      <c r="AJ1" s="224"/>
      <c r="AK1" s="224"/>
      <c r="AL1" s="68"/>
      <c r="AM1" s="68"/>
      <c r="AN1" s="68"/>
      <c r="AO1" s="68"/>
      <c r="AP1" s="68"/>
      <c r="BH1" s="24"/>
      <c r="BI1" s="24"/>
      <c r="BJ1" s="224" t="str">
        <f>R1</f>
        <v>Form 2C.1 - Underground Detention
Design Form</v>
      </c>
      <c r="BK1" s="224"/>
      <c r="BL1" s="224"/>
      <c r="BM1" s="224"/>
      <c r="BN1" s="224"/>
      <c r="BO1" s="224"/>
      <c r="BP1" s="224"/>
      <c r="BQ1" s="224"/>
      <c r="BR1" s="224"/>
      <c r="BS1" s="224"/>
      <c r="BT1" s="224"/>
      <c r="BU1" s="224"/>
      <c r="BV1" s="224"/>
      <c r="BW1" s="224"/>
      <c r="BX1" s="224"/>
      <c r="BY1" s="224"/>
      <c r="BZ1" s="224"/>
      <c r="CA1" s="224"/>
      <c r="CB1" s="224"/>
      <c r="CH1" s="69"/>
      <c r="CI1" s="69"/>
      <c r="CJ1" s="69"/>
      <c r="CK1" s="69"/>
      <c r="CL1" s="69"/>
      <c r="CM1" s="69"/>
    </row>
    <row r="2" spans="2:91" ht="15" customHeight="1" x14ac:dyDescent="0.3">
      <c r="P2" s="3"/>
      <c r="Q2" s="3"/>
      <c r="R2" s="224"/>
      <c r="S2" s="224"/>
      <c r="T2" s="224"/>
      <c r="U2" s="224"/>
      <c r="V2" s="224"/>
      <c r="W2" s="224"/>
      <c r="X2" s="224"/>
      <c r="Y2" s="224"/>
      <c r="Z2" s="224"/>
      <c r="AA2" s="224"/>
      <c r="AB2" s="224"/>
      <c r="AC2" s="224"/>
      <c r="AD2" s="224"/>
      <c r="AE2" s="224"/>
      <c r="AF2" s="224"/>
      <c r="AG2" s="224"/>
      <c r="AH2" s="224"/>
      <c r="AI2" s="224"/>
      <c r="AJ2" s="224"/>
      <c r="AK2" s="224"/>
      <c r="AL2" s="68"/>
      <c r="AM2" s="68"/>
      <c r="AN2" s="68"/>
      <c r="AO2" s="68"/>
      <c r="AP2" s="68"/>
      <c r="BG2" s="24"/>
      <c r="BH2" s="24"/>
      <c r="BI2" s="24"/>
      <c r="BJ2" s="224"/>
      <c r="BK2" s="224"/>
      <c r="BL2" s="224"/>
      <c r="BM2" s="224"/>
      <c r="BN2" s="224"/>
      <c r="BO2" s="224"/>
      <c r="BP2" s="224"/>
      <c r="BQ2" s="224"/>
      <c r="BR2" s="224"/>
      <c r="BS2" s="224"/>
      <c r="BT2" s="224"/>
      <c r="BU2" s="224"/>
      <c r="BV2" s="224"/>
      <c r="BW2" s="224"/>
      <c r="BX2" s="224"/>
      <c r="BY2" s="224"/>
      <c r="BZ2" s="224"/>
      <c r="CA2" s="224"/>
      <c r="CB2" s="224"/>
      <c r="CH2" s="69"/>
      <c r="CI2" s="69"/>
      <c r="CJ2" s="69"/>
      <c r="CK2" s="69"/>
      <c r="CL2" s="69"/>
      <c r="CM2" s="69"/>
    </row>
    <row r="3" spans="2:91" ht="15" customHeight="1" x14ac:dyDescent="0.3">
      <c r="J3" s="3"/>
      <c r="K3" s="3"/>
      <c r="L3" s="3"/>
      <c r="M3" s="3"/>
      <c r="N3" s="3"/>
      <c r="O3" s="3"/>
      <c r="P3" s="3"/>
      <c r="Q3" s="3"/>
      <c r="R3" s="224"/>
      <c r="S3" s="224"/>
      <c r="T3" s="224"/>
      <c r="U3" s="224"/>
      <c r="V3" s="224"/>
      <c r="W3" s="224"/>
      <c r="X3" s="224"/>
      <c r="Y3" s="224"/>
      <c r="Z3" s="224"/>
      <c r="AA3" s="224"/>
      <c r="AB3" s="224"/>
      <c r="AC3" s="224"/>
      <c r="AD3" s="224"/>
      <c r="AE3" s="224"/>
      <c r="AF3" s="224"/>
      <c r="AG3" s="224"/>
      <c r="AH3" s="224"/>
      <c r="AI3" s="224"/>
      <c r="AJ3" s="224"/>
      <c r="AK3" s="224"/>
      <c r="AL3" s="68"/>
      <c r="AM3" s="68"/>
      <c r="AN3" s="68"/>
      <c r="AO3" s="68"/>
      <c r="AP3" s="68"/>
      <c r="BG3" s="24"/>
      <c r="BH3" s="24"/>
      <c r="BI3" s="24"/>
      <c r="BJ3" s="224"/>
      <c r="BK3" s="224"/>
      <c r="BL3" s="224"/>
      <c r="BM3" s="224"/>
      <c r="BN3" s="224"/>
      <c r="BO3" s="224"/>
      <c r="BP3" s="224"/>
      <c r="BQ3" s="224"/>
      <c r="BR3" s="224"/>
      <c r="BS3" s="224"/>
      <c r="BT3" s="224"/>
      <c r="BU3" s="224"/>
      <c r="BV3" s="224"/>
      <c r="BW3" s="224"/>
      <c r="BX3" s="224"/>
      <c r="BY3" s="224"/>
      <c r="BZ3" s="224"/>
      <c r="CA3" s="224"/>
      <c r="CB3" s="224"/>
      <c r="CH3" s="69"/>
      <c r="CI3" s="69"/>
      <c r="CJ3" s="69"/>
      <c r="CK3" s="69"/>
      <c r="CL3" s="69"/>
      <c r="CM3" s="69"/>
    </row>
    <row r="4" spans="2:91" ht="15" customHeight="1" x14ac:dyDescent="0.3">
      <c r="J4" s="3"/>
      <c r="K4" s="3"/>
      <c r="L4" s="3"/>
      <c r="M4" s="3"/>
      <c r="N4" s="3"/>
      <c r="O4" s="3"/>
      <c r="P4" s="3"/>
      <c r="Q4" s="3"/>
      <c r="R4" s="224"/>
      <c r="S4" s="224"/>
      <c r="T4" s="224"/>
      <c r="U4" s="224"/>
      <c r="V4" s="224"/>
      <c r="W4" s="224"/>
      <c r="X4" s="224"/>
      <c r="Y4" s="224"/>
      <c r="Z4" s="224"/>
      <c r="AA4" s="224"/>
      <c r="AB4" s="224"/>
      <c r="AC4" s="224"/>
      <c r="AD4" s="224"/>
      <c r="AE4" s="224"/>
      <c r="AF4" s="224"/>
      <c r="AG4" s="224"/>
      <c r="AH4" s="224"/>
      <c r="AI4" s="224"/>
      <c r="AJ4" s="224"/>
      <c r="AK4" s="224"/>
      <c r="AL4" s="68"/>
      <c r="AM4" s="68"/>
      <c r="AN4" s="68"/>
      <c r="AO4" s="68"/>
      <c r="AP4" s="68"/>
      <c r="BG4" s="24"/>
      <c r="BH4" s="24"/>
      <c r="BI4" s="24"/>
      <c r="BJ4" s="224"/>
      <c r="BK4" s="224"/>
      <c r="BL4" s="224"/>
      <c r="BM4" s="224"/>
      <c r="BN4" s="224"/>
      <c r="BO4" s="224"/>
      <c r="BP4" s="224"/>
      <c r="BQ4" s="224"/>
      <c r="BR4" s="224"/>
      <c r="BS4" s="224"/>
      <c r="BT4" s="224"/>
      <c r="BU4" s="224"/>
      <c r="BV4" s="224"/>
      <c r="BW4" s="224"/>
      <c r="BX4" s="224"/>
      <c r="BY4" s="224"/>
      <c r="BZ4" s="224"/>
      <c r="CA4" s="224"/>
      <c r="CB4" s="224"/>
      <c r="CH4" s="69"/>
      <c r="CI4" s="69"/>
      <c r="CJ4" s="69"/>
      <c r="CK4" s="69"/>
      <c r="CL4" s="69"/>
      <c r="CM4" s="69"/>
    </row>
    <row r="5" spans="2:91" ht="4.95" customHeight="1" x14ac:dyDescent="0.3">
      <c r="J5" s="3"/>
      <c r="K5" s="3"/>
      <c r="L5" s="3"/>
      <c r="M5" s="3"/>
      <c r="N5" s="3"/>
      <c r="O5" s="3"/>
      <c r="P5" s="3"/>
      <c r="Q5" s="3"/>
      <c r="R5" s="25"/>
      <c r="S5" s="25"/>
      <c r="T5" s="25"/>
      <c r="U5" s="25"/>
      <c r="V5" s="25"/>
      <c r="W5" s="25"/>
      <c r="X5" s="25"/>
      <c r="Y5" s="25"/>
      <c r="Z5" s="25"/>
      <c r="AA5" s="25"/>
      <c r="AB5" s="25"/>
      <c r="AC5" s="25"/>
      <c r="AD5" s="25"/>
      <c r="AE5" s="25"/>
      <c r="AF5" s="25"/>
      <c r="AG5" s="25"/>
      <c r="AH5" s="25"/>
      <c r="AI5" s="25"/>
      <c r="AJ5" s="25"/>
      <c r="AL5" s="68"/>
      <c r="AM5" s="68"/>
      <c r="AN5" s="68"/>
      <c r="AO5" s="68"/>
      <c r="AP5" s="68"/>
    </row>
    <row r="6" spans="2:91" ht="14.55" customHeight="1" x14ac:dyDescent="0.3">
      <c r="B6" s="1" t="s">
        <v>0</v>
      </c>
      <c r="C6" s="1"/>
      <c r="D6" s="1"/>
      <c r="E6" s="1"/>
      <c r="F6" s="1"/>
      <c r="G6" s="1"/>
      <c r="H6" s="1"/>
      <c r="I6" s="1"/>
      <c r="AB6" s="2" t="s">
        <v>416</v>
      </c>
      <c r="AC6" s="183"/>
      <c r="AD6" s="183"/>
      <c r="AE6" s="183"/>
      <c r="AF6" s="183"/>
      <c r="AG6" s="183"/>
      <c r="AH6" s="183"/>
      <c r="AI6" s="183"/>
      <c r="AJ6" s="183"/>
      <c r="AL6" s="68"/>
      <c r="AV6" s="221" t="s">
        <v>67</v>
      </c>
      <c r="AW6" s="221"/>
      <c r="AX6" s="221"/>
      <c r="AY6" s="221"/>
      <c r="AZ6" s="221"/>
      <c r="BA6" s="221"/>
      <c r="BB6" s="221"/>
      <c r="BC6" s="221"/>
      <c r="BD6" s="221"/>
      <c r="BE6" s="221"/>
      <c r="BF6" s="221"/>
      <c r="BG6" s="221"/>
      <c r="BH6" s="221"/>
      <c r="BI6" s="221"/>
      <c r="BJ6" s="221"/>
      <c r="BK6" s="66"/>
      <c r="BL6" s="66"/>
      <c r="BM6" s="66"/>
      <c r="BN6" s="66"/>
      <c r="BO6" s="66"/>
      <c r="BP6" s="66"/>
      <c r="BQ6" s="66"/>
      <c r="BR6" s="66"/>
      <c r="BS6" s="66"/>
      <c r="BT6" s="66"/>
      <c r="BU6" s="66"/>
      <c r="BV6" s="66"/>
      <c r="BW6" s="66"/>
      <c r="BX6" s="66"/>
      <c r="BY6" s="66"/>
      <c r="BZ6" s="66"/>
      <c r="CA6" s="83"/>
    </row>
    <row r="7" spans="2:91" ht="14.55" customHeight="1" x14ac:dyDescent="0.3">
      <c r="D7" s="2" t="s">
        <v>124</v>
      </c>
      <c r="E7" s="206"/>
      <c r="F7" s="206"/>
      <c r="G7" s="206"/>
      <c r="H7" s="206"/>
      <c r="I7" s="206"/>
      <c r="J7" s="206"/>
      <c r="K7" s="206"/>
      <c r="L7" s="206"/>
      <c r="M7" s="206"/>
      <c r="N7" s="206"/>
      <c r="O7" s="206"/>
      <c r="P7" s="206"/>
      <c r="Q7" s="206"/>
      <c r="R7" s="206"/>
      <c r="S7" s="206"/>
      <c r="T7" s="206"/>
      <c r="U7" s="206"/>
      <c r="V7" s="206"/>
      <c r="W7" s="206"/>
      <c r="X7" s="206"/>
      <c r="AD7" s="2" t="s">
        <v>19</v>
      </c>
      <c r="AE7" s="211"/>
      <c r="AF7" s="211"/>
      <c r="AG7" s="211"/>
      <c r="AH7" s="211"/>
      <c r="AI7" s="211"/>
      <c r="AJ7" s="211"/>
      <c r="AL7" s="68"/>
      <c r="AV7" s="221"/>
      <c r="AW7" s="221"/>
      <c r="AX7" s="221"/>
      <c r="AY7" s="221"/>
      <c r="AZ7" s="221"/>
      <c r="BA7" s="221"/>
      <c r="BB7" s="221"/>
      <c r="BC7" s="221"/>
      <c r="BD7" s="221"/>
      <c r="BE7" s="221"/>
      <c r="BF7" s="221"/>
      <c r="BG7" s="221"/>
      <c r="BH7" s="221"/>
      <c r="BI7" s="221"/>
      <c r="BJ7" s="221"/>
      <c r="BK7" s="66"/>
      <c r="BL7" s="66"/>
      <c r="BM7" s="66"/>
      <c r="BN7" s="66"/>
      <c r="BO7" s="66"/>
      <c r="BP7" s="66"/>
      <c r="BQ7" s="66"/>
      <c r="BR7" s="66"/>
      <c r="BS7" s="66"/>
      <c r="BT7" s="66"/>
      <c r="BU7" s="66"/>
      <c r="BV7" s="66"/>
      <c r="BW7" s="66"/>
      <c r="BX7" s="66"/>
      <c r="BY7" s="66"/>
      <c r="BZ7" s="66"/>
      <c r="CA7" s="84"/>
    </row>
    <row r="8" spans="2:91" ht="14.55" customHeight="1" x14ac:dyDescent="0.3">
      <c r="D8" s="2" t="s">
        <v>125</v>
      </c>
      <c r="E8" s="202"/>
      <c r="F8" s="202"/>
      <c r="G8" s="202"/>
      <c r="H8" s="202"/>
      <c r="I8" s="202"/>
      <c r="J8" s="202"/>
      <c r="K8" s="202"/>
      <c r="L8" s="202"/>
      <c r="M8" s="202"/>
      <c r="N8" s="202"/>
      <c r="O8" s="202"/>
      <c r="P8" s="202"/>
      <c r="Q8" s="202"/>
      <c r="R8" s="202"/>
      <c r="S8" s="202"/>
      <c r="T8" s="202"/>
      <c r="U8" s="202"/>
      <c r="V8" s="202"/>
      <c r="W8" s="202"/>
      <c r="X8" s="202"/>
      <c r="AD8" s="2" t="s">
        <v>32</v>
      </c>
      <c r="AE8" s="212"/>
      <c r="AF8" s="212"/>
      <c r="AG8" s="212"/>
      <c r="AH8" s="212"/>
      <c r="AI8" s="212"/>
      <c r="AJ8" s="212"/>
      <c r="AV8" s="74" t="s">
        <v>354</v>
      </c>
      <c r="AY8" s="84"/>
      <c r="AZ8" s="66"/>
      <c r="BA8" s="66"/>
      <c r="BB8" s="66"/>
      <c r="BC8" s="66"/>
      <c r="BD8" s="66"/>
      <c r="BE8" s="66"/>
      <c r="BF8" s="66"/>
      <c r="BG8" s="66"/>
      <c r="BH8" s="66"/>
      <c r="BI8" s="66"/>
      <c r="BJ8" s="66"/>
      <c r="BK8" s="66"/>
      <c r="BL8" s="66"/>
      <c r="BM8" s="66"/>
      <c r="BN8" s="66"/>
      <c r="BO8" s="66"/>
      <c r="BP8" s="66"/>
      <c r="BQ8" s="66"/>
      <c r="BR8" s="66"/>
      <c r="BS8" s="66"/>
      <c r="BT8" s="66"/>
      <c r="BU8" s="66"/>
      <c r="BV8" s="66"/>
      <c r="BW8" s="66"/>
      <c r="BX8" s="66"/>
      <c r="BY8" s="66"/>
      <c r="BZ8" s="66"/>
      <c r="CA8" s="84"/>
    </row>
    <row r="9" spans="2:91" ht="15" customHeight="1" x14ac:dyDescent="0.3">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70"/>
      <c r="AM9" s="70"/>
      <c r="AN9" s="70"/>
      <c r="AO9" s="70"/>
      <c r="AP9" s="70"/>
      <c r="AV9" s="92">
        <v>1</v>
      </c>
      <c r="AW9" s="12" t="s">
        <v>366</v>
      </c>
      <c r="AY9" s="90"/>
      <c r="AZ9" s="73"/>
      <c r="BA9" s="73"/>
      <c r="BB9" s="73"/>
      <c r="BC9" s="73"/>
      <c r="BD9" s="73"/>
      <c r="BE9" s="73"/>
      <c r="BF9" s="73"/>
      <c r="BG9" s="73"/>
      <c r="BH9" s="73"/>
      <c r="BI9" s="73"/>
      <c r="BJ9" s="73"/>
      <c r="BK9" s="73"/>
      <c r="BL9" s="73"/>
      <c r="BM9" s="73"/>
      <c r="BN9" s="73"/>
      <c r="BO9" s="73"/>
      <c r="BP9" s="73"/>
      <c r="BQ9" s="73"/>
      <c r="BR9" s="73"/>
      <c r="BS9" s="73"/>
      <c r="BT9" s="73"/>
      <c r="BU9" s="73"/>
      <c r="BV9" s="73"/>
      <c r="BW9" s="73"/>
      <c r="BX9" s="73"/>
      <c r="BY9" s="73"/>
      <c r="BZ9" s="73"/>
      <c r="CA9" s="83"/>
    </row>
    <row r="10" spans="2:91" ht="14.55" customHeight="1" x14ac:dyDescent="0.3">
      <c r="E10" s="2" t="s">
        <v>172</v>
      </c>
      <c r="F10" s="161"/>
      <c r="G10" s="28" t="s">
        <v>119</v>
      </c>
      <c r="M10" s="161"/>
      <c r="N10" s="28" t="s">
        <v>120</v>
      </c>
      <c r="U10" s="161"/>
      <c r="V10" s="28" t="s">
        <v>121</v>
      </c>
      <c r="AC10" s="161"/>
      <c r="AD10" s="28" t="str">
        <f>" "&amp;Tables!F37</f>
        <v xml:space="preserve"> Release Agreement</v>
      </c>
      <c r="AV10" s="92">
        <f>AV9+1</f>
        <v>2</v>
      </c>
      <c r="AW10" s="28" t="s">
        <v>326</v>
      </c>
      <c r="AY10" s="84"/>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66"/>
      <c r="BX10" s="66"/>
      <c r="BY10" s="66"/>
      <c r="BZ10" s="66"/>
      <c r="CA10" s="83"/>
    </row>
    <row r="11" spans="2:91" ht="4.95" customHeight="1" x14ac:dyDescent="0.3">
      <c r="C11" s="2"/>
      <c r="D11" s="2"/>
      <c r="E11" s="2"/>
      <c r="F11" s="2"/>
      <c r="G11" s="2"/>
      <c r="H11" s="2"/>
      <c r="I11" s="2"/>
      <c r="AY11" s="84"/>
      <c r="AZ11" s="66"/>
      <c r="BA11" s="66"/>
      <c r="BB11" s="66"/>
      <c r="BC11" s="66"/>
      <c r="BD11" s="66"/>
      <c r="BE11" s="66"/>
      <c r="BF11" s="66"/>
      <c r="BG11" s="66"/>
      <c r="BH11" s="66"/>
      <c r="BI11" s="66"/>
      <c r="BJ11" s="66"/>
      <c r="BK11" s="66"/>
      <c r="BL11" s="66"/>
      <c r="BM11" s="66"/>
      <c r="BN11" s="66"/>
      <c r="BO11" s="66"/>
      <c r="BP11" s="66"/>
      <c r="BQ11" s="66"/>
      <c r="BR11" s="66"/>
      <c r="BS11" s="66"/>
      <c r="BT11" s="66"/>
      <c r="BU11" s="66"/>
      <c r="BV11" s="66"/>
      <c r="BW11" s="66"/>
      <c r="BX11" s="66"/>
      <c r="BY11" s="66"/>
      <c r="BZ11" s="66"/>
      <c r="CA11" s="84"/>
    </row>
    <row r="12" spans="2:91" ht="15" customHeight="1" x14ac:dyDescent="0.3">
      <c r="C12" s="2"/>
      <c r="D12" s="2"/>
      <c r="E12" s="2"/>
      <c r="F12" s="161"/>
      <c r="G12" s="28" t="s">
        <v>183</v>
      </c>
      <c r="M12" s="161"/>
      <c r="N12" s="28" t="s">
        <v>184</v>
      </c>
      <c r="U12" s="161"/>
      <c r="V12" s="28" t="s">
        <v>185</v>
      </c>
      <c r="AC12"/>
      <c r="AW12" s="28" t="s">
        <v>327</v>
      </c>
      <c r="AY12" s="84"/>
      <c r="AZ12" s="66"/>
      <c r="BA12" s="66"/>
      <c r="BB12" s="66"/>
      <c r="BC12" s="66"/>
      <c r="BD12" s="66"/>
      <c r="BE12" s="66"/>
      <c r="BF12" s="66"/>
      <c r="BG12" s="66"/>
      <c r="BH12" s="66"/>
      <c r="BI12" s="66"/>
      <c r="BJ12" s="66"/>
      <c r="BK12" s="66"/>
      <c r="BL12" s="66"/>
      <c r="BM12" s="66"/>
      <c r="BN12" s="66"/>
      <c r="BO12" s="66"/>
      <c r="BP12" s="66"/>
      <c r="BQ12" s="66"/>
      <c r="BR12" s="66"/>
      <c r="BS12" s="66"/>
      <c r="BT12" s="66"/>
      <c r="BU12" s="66"/>
      <c r="BV12" s="66"/>
      <c r="BW12" s="66"/>
      <c r="BX12" s="66"/>
      <c r="BY12" s="66"/>
      <c r="BZ12" s="66"/>
      <c r="CA12" s="84"/>
    </row>
    <row r="13" spans="2:91" ht="4.95" customHeight="1" x14ac:dyDescent="0.3">
      <c r="C13" s="2"/>
      <c r="D13" s="2"/>
      <c r="E13" s="2"/>
      <c r="F13" s="2"/>
      <c r="G13" s="2"/>
      <c r="H13" s="2"/>
      <c r="I13" s="2"/>
      <c r="AY13" s="84"/>
      <c r="AZ13" s="66"/>
      <c r="BA13" s="66"/>
      <c r="BB13" s="66"/>
      <c r="BC13" s="66"/>
      <c r="BD13" s="66"/>
      <c r="BE13" s="66"/>
      <c r="BF13" s="66"/>
      <c r="BG13" s="66"/>
      <c r="BH13" s="66"/>
      <c r="BI13" s="66"/>
      <c r="BJ13" s="66"/>
      <c r="BK13" s="66"/>
      <c r="BL13" s="66"/>
      <c r="BM13" s="66"/>
      <c r="BN13" s="66"/>
      <c r="BO13" s="66"/>
      <c r="BP13" s="66"/>
      <c r="BQ13" s="66"/>
      <c r="BR13" s="66"/>
      <c r="BS13" s="66"/>
      <c r="BT13" s="66"/>
      <c r="BU13" s="66"/>
      <c r="BV13" s="66"/>
      <c r="BW13" s="66"/>
      <c r="BX13" s="66"/>
      <c r="BY13" s="66"/>
      <c r="BZ13" s="66"/>
      <c r="CA13" s="84"/>
    </row>
    <row r="14" spans="2:91" ht="15" customHeight="1" x14ac:dyDescent="0.3">
      <c r="C14" s="2"/>
      <c r="D14" s="2"/>
      <c r="E14" s="2"/>
      <c r="F14" s="161"/>
      <c r="G14" s="28" t="s">
        <v>549</v>
      </c>
      <c r="H14" s="2"/>
      <c r="I14" s="2"/>
      <c r="J14" s="2"/>
      <c r="T14" s="161"/>
      <c r="U14" s="28" t="s">
        <v>551</v>
      </c>
      <c r="AV14" s="92">
        <f>AV10+1</f>
        <v>3</v>
      </c>
      <c r="AW14" s="28" t="s">
        <v>570</v>
      </c>
      <c r="AY14" s="84"/>
      <c r="AZ14" s="66"/>
      <c r="BA14" s="66"/>
      <c r="BB14" s="66"/>
      <c r="BC14" s="66"/>
      <c r="BD14" s="66"/>
      <c r="BE14" s="66"/>
      <c r="BF14" s="66"/>
      <c r="BG14" s="66"/>
      <c r="BH14" s="66"/>
      <c r="BI14" s="66"/>
      <c r="BJ14" s="66"/>
      <c r="BK14" s="66"/>
      <c r="BL14" s="66"/>
      <c r="BM14" s="66"/>
      <c r="BN14" s="66"/>
      <c r="BO14" s="66"/>
      <c r="BP14" s="66"/>
      <c r="BQ14" s="66"/>
      <c r="BR14" s="66"/>
      <c r="BS14" s="66"/>
      <c r="BT14" s="66"/>
      <c r="BU14" s="66"/>
      <c r="BV14" s="66"/>
      <c r="BW14" s="66"/>
      <c r="BX14" s="66"/>
      <c r="BY14" s="66"/>
      <c r="BZ14" s="66"/>
      <c r="CA14" s="84"/>
    </row>
    <row r="15" spans="2:91" ht="15" customHeight="1" x14ac:dyDescent="0.3">
      <c r="C15" s="2"/>
      <c r="D15" s="2"/>
      <c r="E15" s="2"/>
      <c r="F15" s="2"/>
      <c r="G15" s="28" t="s">
        <v>550</v>
      </c>
      <c r="H15" s="2"/>
      <c r="I15" s="2"/>
      <c r="AW15" s="28" t="str">
        <f>"Hydrology for Small Watersheds Technical Release 55 (TR-55) or equivalent as approved by the "&amp;Tables!$F$23&amp;" Engineer;"</f>
        <v>Hydrology for Small Watersheds Technical Release 55 (TR-55) or equivalent as approved by the City Engineer;</v>
      </c>
      <c r="AZ15" s="66"/>
      <c r="BA15" s="66"/>
      <c r="BB15" s="66"/>
      <c r="BC15" s="66"/>
      <c r="BD15" s="66"/>
      <c r="BE15" s="66"/>
      <c r="BF15" s="66"/>
      <c r="BG15" s="66"/>
      <c r="BH15" s="66"/>
      <c r="BI15" s="66"/>
      <c r="BJ15" s="66"/>
      <c r="BK15" s="66"/>
      <c r="BL15" s="66"/>
      <c r="BM15" s="66"/>
      <c r="BN15" s="66"/>
      <c r="BO15" s="66"/>
      <c r="BP15" s="66"/>
      <c r="BQ15" s="66"/>
      <c r="BR15" s="66"/>
      <c r="BS15" s="66"/>
      <c r="BT15" s="66"/>
      <c r="BU15" s="66"/>
      <c r="BV15" s="66"/>
      <c r="BW15" s="66"/>
      <c r="BX15" s="66"/>
      <c r="BY15" s="66"/>
      <c r="BZ15" s="66"/>
      <c r="CA15" s="84"/>
    </row>
    <row r="16" spans="2:91" ht="14.55" customHeight="1" x14ac:dyDescent="0.3">
      <c r="D16" s="2"/>
      <c r="F16" s="2" t="s">
        <v>397</v>
      </c>
      <c r="G16" s="161"/>
      <c r="H16" s="12" t="s">
        <v>341</v>
      </c>
      <c r="J16" s="161"/>
      <c r="K16" s="12" t="s">
        <v>342</v>
      </c>
      <c r="Z16" s="2" t="s">
        <v>398</v>
      </c>
      <c r="AA16" s="174"/>
      <c r="AB16" s="174"/>
      <c r="AC16" s="174"/>
      <c r="AD16" s="174"/>
      <c r="AE16" s="214" t="str">
        <f>IF($AM$18=0,"Units?",IF($AM$18=1,"ac",IF($AM$18=2,"sq-ft","Error")))</f>
        <v>Units?</v>
      </c>
      <c r="AF16" s="214"/>
      <c r="AL16" s="94">
        <f>IF(AND(ISBLANK(G16),ISBLANK(J16)),1,2)</f>
        <v>1</v>
      </c>
      <c r="AM16" s="94">
        <f>IF(ISBLANK(G16),0,1)</f>
        <v>0</v>
      </c>
      <c r="AO16" s="70" t="s">
        <v>399</v>
      </c>
      <c r="AP16" s="114">
        <f>IF($AM$18=2,AA17/43560,AA17)</f>
        <v>0</v>
      </c>
      <c r="AQ16" s="13" t="s">
        <v>400</v>
      </c>
      <c r="AV16" s="92">
        <f>AV14+1</f>
        <v>4</v>
      </c>
      <c r="AW16" s="74" t="s">
        <v>266</v>
      </c>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83"/>
    </row>
    <row r="17" spans="2:80" ht="14.55" customHeight="1" x14ac:dyDescent="0.3">
      <c r="B17" s="28" t="s">
        <v>2</v>
      </c>
      <c r="Z17" s="2" t="s">
        <v>401</v>
      </c>
      <c r="AA17" s="213"/>
      <c r="AB17" s="213"/>
      <c r="AC17" s="213"/>
      <c r="AD17" s="213"/>
      <c r="AE17" s="214" t="str">
        <f>IF($AM$18=0,"Units?",IF($AM$18=1,"ac",IF($AM$18=2,"sq-ft","Error")))</f>
        <v>Units?</v>
      </c>
      <c r="AF17" s="214"/>
      <c r="AM17" s="94">
        <f>IF(ISBLANK(J16),0,2)</f>
        <v>0</v>
      </c>
      <c r="AN17" s="70"/>
      <c r="AO17" s="70" t="s">
        <v>402</v>
      </c>
      <c r="AP17" s="114">
        <f>IF($AM$18=2,J23/43560,J23)</f>
        <v>0</v>
      </c>
      <c r="AQ17" s="13" t="s">
        <v>400</v>
      </c>
      <c r="AV17" s="84"/>
      <c r="AW17" s="74" t="str">
        <f>"pre-development hydrology for the "&amp;Tables!F28&amp;"-year, 24-hour rainfall depths;"</f>
        <v>pre-development hydrology for the 2, 5, 10, 25, 50, and 100-year, 24-hour rainfall depths;</v>
      </c>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83"/>
    </row>
    <row r="18" spans="2:80" ht="14.55" customHeight="1" x14ac:dyDescent="0.3">
      <c r="D18" s="2"/>
      <c r="E18" s="2"/>
      <c r="F18" s="2"/>
      <c r="G18" s="2"/>
      <c r="I18" s="2" t="s">
        <v>173</v>
      </c>
      <c r="J18" s="174"/>
      <c r="K18" s="174"/>
      <c r="L18" s="174"/>
      <c r="M18" s="174"/>
      <c r="N18" s="214" t="str">
        <f t="shared" ref="N18:N23" si="0">IF($AM$18=0,"Units?",IF($AM$18=1,"ac",IF($AM$18=2,"sq-ft","Error")))</f>
        <v>Units?</v>
      </c>
      <c r="O18" s="214"/>
      <c r="S18" s="28" t="s">
        <v>52</v>
      </c>
      <c r="AM18" s="94">
        <f>SUM(AM16:AM17)</f>
        <v>0</v>
      </c>
      <c r="AN18" s="13" t="s">
        <v>403</v>
      </c>
      <c r="AO18" s="70" t="s">
        <v>404</v>
      </c>
      <c r="AP18" s="114">
        <f>AP17-AP16</f>
        <v>0</v>
      </c>
      <c r="AQ18" s="13" t="s">
        <v>400</v>
      </c>
      <c r="AV18" s="23">
        <f>AV16+1</f>
        <v>5</v>
      </c>
      <c r="AW18" s="28" t="s">
        <v>435</v>
      </c>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83"/>
    </row>
    <row r="19" spans="2:80" ht="14.55" customHeight="1" x14ac:dyDescent="0.3">
      <c r="D19" s="2"/>
      <c r="E19" s="2"/>
      <c r="F19" s="2"/>
      <c r="G19" s="2"/>
      <c r="I19" s="2" t="s">
        <v>174</v>
      </c>
      <c r="J19" s="175"/>
      <c r="K19" s="175"/>
      <c r="L19" s="175"/>
      <c r="M19" s="175"/>
      <c r="N19" s="214" t="str">
        <f t="shared" si="0"/>
        <v>Units?</v>
      </c>
      <c r="O19" s="214"/>
      <c r="V19" s="2" t="s">
        <v>53</v>
      </c>
      <c r="W19" s="210">
        <f>IF(AL19=1,"0.00",IFERROR(IF($J$23-$AA$17&lt;0,0,$J$23-$AA$17),""))</f>
        <v>0</v>
      </c>
      <c r="X19" s="210"/>
      <c r="Y19" s="210"/>
      <c r="Z19" s="210"/>
      <c r="AA19" s="214" t="str">
        <f>IF($AM$18=0,"Units?",IF($AM$18=1,"ac",IF($AM$18=2,"sq-ft","Error")))</f>
        <v>Units?</v>
      </c>
      <c r="AB19" s="214"/>
      <c r="AD19" s="2" t="s">
        <v>53</v>
      </c>
      <c r="AE19" s="215">
        <f>AP18</f>
        <v>0</v>
      </c>
      <c r="AF19" s="215"/>
      <c r="AG19" s="215"/>
      <c r="AH19" s="215"/>
      <c r="AI19" s="214" t="s">
        <v>400</v>
      </c>
      <c r="AJ19" s="214"/>
      <c r="AL19" s="94">
        <f>IF(AND(J23=0,ISBLANK(AA17)),0,IF(OR(J23-AA17=0,J23-AA17&lt;0),1,2))</f>
        <v>0</v>
      </c>
      <c r="AM19" s="13" t="s">
        <v>405</v>
      </c>
      <c r="AW19" s="4" t="s">
        <v>93</v>
      </c>
      <c r="AX19" s="28" t="str">
        <f>"Obtain "&amp;Tables!F37&amp;" for the adjacent property"</f>
        <v>Obtain Release Agreement for the adjacent property</v>
      </c>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83"/>
    </row>
    <row r="20" spans="2:80" ht="14.55" customHeight="1" x14ac:dyDescent="0.3">
      <c r="D20" s="2"/>
      <c r="E20" s="2"/>
      <c r="F20" s="2"/>
      <c r="G20" s="2"/>
      <c r="I20" s="2" t="s">
        <v>175</v>
      </c>
      <c r="J20" s="175"/>
      <c r="K20" s="175"/>
      <c r="L20" s="175"/>
      <c r="M20" s="175"/>
      <c r="N20" s="214" t="str">
        <f t="shared" si="0"/>
        <v>Units?</v>
      </c>
      <c r="O20" s="214"/>
      <c r="S20" s="28" t="s">
        <v>33</v>
      </c>
      <c r="AW20" s="4" t="s">
        <v>94</v>
      </c>
      <c r="AX20" s="28" t="str">
        <f>"If a "&amp;Tables!$F$37&amp;" cannot be obtained, size the underground detention system to attenuate the"</f>
        <v>If a Release Agreement cannot be obtained, size the underground detention system to attenuate the</v>
      </c>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83"/>
    </row>
    <row r="21" spans="2:80" ht="14.55" customHeight="1" x14ac:dyDescent="0.3">
      <c r="D21" s="2"/>
      <c r="E21" s="2"/>
      <c r="F21" s="2"/>
      <c r="G21" s="2"/>
      <c r="I21" s="2" t="s">
        <v>176</v>
      </c>
      <c r="J21" s="175"/>
      <c r="K21" s="175"/>
      <c r="L21" s="175"/>
      <c r="M21" s="175"/>
      <c r="N21" s="214" t="str">
        <f t="shared" si="0"/>
        <v>Units?</v>
      </c>
      <c r="O21" s="214"/>
      <c r="V21" s="2" t="s">
        <v>35</v>
      </c>
      <c r="W21" s="28" t="str">
        <f>"AIA acres X "&amp;Tables!G15&amp; " in X 3,630"</f>
        <v>AIA acres X 1.10 in X 3,630</v>
      </c>
      <c r="AX21" s="74" t="str">
        <f>"post-development peak discharges for the "&amp;AS179&amp;"-year to be less than the pre-development "</f>
        <v xml:space="preserve">post-development peak discharges for the 25, 50, and 100-year to be less than the pre-development </v>
      </c>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83"/>
    </row>
    <row r="22" spans="2:80" ht="14.55" customHeight="1" thickBot="1" x14ac:dyDescent="0.35">
      <c r="D22" s="2"/>
      <c r="E22" s="2"/>
      <c r="F22" s="2"/>
      <c r="G22" s="2"/>
      <c r="I22" s="2" t="s">
        <v>177</v>
      </c>
      <c r="J22" s="225"/>
      <c r="K22" s="225"/>
      <c r="L22" s="225"/>
      <c r="M22" s="225"/>
      <c r="N22" s="214" t="str">
        <f t="shared" si="0"/>
        <v>Units?</v>
      </c>
      <c r="O22" s="214"/>
      <c r="V22" s="2" t="s">
        <v>35</v>
      </c>
      <c r="W22" s="215">
        <f>IF(AL19=1,"0.00",IFERROR(IF($J$23-$AA$17&lt;0,0,$AP$18),""))</f>
        <v>0</v>
      </c>
      <c r="X22" s="215"/>
      <c r="Y22" s="215"/>
      <c r="Z22" s="215"/>
      <c r="AA22" s="28" t="str">
        <f>"acres X "&amp;Tables!G15&amp;" in X 3,630"</f>
        <v>acres X 1.10 in X 3,630</v>
      </c>
      <c r="AX22" s="74" t="str">
        <f>"peak discharge(s) for the "&amp;AR179&amp;"-year storm event(s)"</f>
        <v>peak discharge(s) for the 25-year storm event(s)</v>
      </c>
      <c r="AY22" s="84"/>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84"/>
    </row>
    <row r="23" spans="2:80" ht="14.55" customHeight="1" thickTop="1" x14ac:dyDescent="0.3">
      <c r="D23" s="2"/>
      <c r="E23" s="2"/>
      <c r="F23" s="2"/>
      <c r="G23" s="2"/>
      <c r="I23" s="2" t="s">
        <v>178</v>
      </c>
      <c r="J23" s="210">
        <f>IF(SUM($J$18:$J$22)=0,0,SUM($J$18:$J$22))</f>
        <v>0</v>
      </c>
      <c r="K23" s="210"/>
      <c r="L23" s="210"/>
      <c r="M23" s="210"/>
      <c r="N23" s="214" t="str">
        <f t="shared" si="0"/>
        <v>Units?</v>
      </c>
      <c r="O23" s="214"/>
      <c r="V23" s="2" t="s">
        <v>35</v>
      </c>
      <c r="W23" s="177">
        <f>IF(AL19=1,"0",IFERROR(ROUND(IF(AP18*Tables!F15*3630&lt;0,0,AP18*Tables!F15*3630),0),""))</f>
        <v>0</v>
      </c>
      <c r="X23" s="177"/>
      <c r="Y23" s="177"/>
      <c r="Z23" s="177"/>
      <c r="AA23" s="28" t="s">
        <v>34</v>
      </c>
      <c r="AW23" s="4" t="s">
        <v>103</v>
      </c>
      <c r="AX23" s="28" t="str">
        <f>"If a "&amp;Tables!$F$37&amp;" cannot be obtained and the underground detention will discharge to an area that is"</f>
        <v>If a Release Agreement cannot be obtained and the underground detention will discharge to an area that is</v>
      </c>
      <c r="AY23" s="84"/>
      <c r="AZ23" s="66"/>
      <c r="BA23" s="66"/>
      <c r="BB23" s="66"/>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c r="CA23" s="83"/>
    </row>
    <row r="24" spans="2:80" ht="4.95" customHeight="1" x14ac:dyDescent="0.3">
      <c r="AZ24" s="66"/>
      <c r="BA24" s="66"/>
      <c r="BB24" s="66"/>
      <c r="BC24" s="66"/>
      <c r="BD24" s="66"/>
      <c r="BE24" s="66"/>
      <c r="BF24" s="66"/>
      <c r="BG24" s="66"/>
      <c r="BH24" s="66"/>
      <c r="BI24" s="66"/>
      <c r="BJ24" s="66"/>
      <c r="BK24" s="66"/>
      <c r="BL24" s="66"/>
      <c r="BM24" s="66"/>
      <c r="BN24" s="66"/>
      <c r="BO24" s="66"/>
      <c r="BP24" s="66"/>
      <c r="BQ24" s="66"/>
      <c r="BR24" s="66"/>
      <c r="BS24" s="66"/>
      <c r="BT24" s="66"/>
      <c r="BU24" s="66"/>
      <c r="BV24" s="66"/>
      <c r="BW24" s="66"/>
      <c r="BX24" s="66"/>
      <c r="BY24" s="66"/>
      <c r="BZ24" s="66"/>
      <c r="CA24" s="83"/>
    </row>
    <row r="25" spans="2:80" ht="13.95" customHeight="1" x14ac:dyDescent="0.3">
      <c r="B25" s="1" t="s">
        <v>3</v>
      </c>
      <c r="C25" s="1"/>
      <c r="D25" s="1"/>
      <c r="E25" s="1"/>
      <c r="F25" s="1"/>
      <c r="G25" s="1"/>
      <c r="H25" s="1"/>
      <c r="I25" s="1"/>
      <c r="Y25" s="2" t="s">
        <v>187</v>
      </c>
      <c r="Z25" s="161"/>
      <c r="AA25" s="28" t="s">
        <v>189</v>
      </c>
      <c r="AC25" s="161"/>
      <c r="AD25" s="28" t="s">
        <v>190</v>
      </c>
      <c r="AF25" s="161"/>
      <c r="AG25" s="28" t="s">
        <v>191</v>
      </c>
      <c r="AI25" s="161"/>
      <c r="AJ25" s="28" t="s">
        <v>192</v>
      </c>
      <c r="AL25" s="94">
        <f>IF(AND(ISBLANK(Z25),ISBLANK(AC25),ISBLANK(AF25),ISBLANK(AI25)),1,2)</f>
        <v>1</v>
      </c>
      <c r="AV25" s="92"/>
      <c r="AX25" s="28" t="s">
        <v>566</v>
      </c>
      <c r="AY25" s="84"/>
      <c r="AZ25" s="66"/>
      <c r="BA25" s="66"/>
      <c r="BB25" s="66"/>
      <c r="BC25" s="66"/>
      <c r="BD25" s="66"/>
      <c r="BE25" s="66"/>
      <c r="BF25" s="66"/>
      <c r="BG25" s="66"/>
      <c r="BH25" s="66"/>
      <c r="BI25" s="66"/>
      <c r="BJ25" s="66"/>
      <c r="BK25" s="66"/>
      <c r="BL25" s="66"/>
      <c r="BM25" s="66"/>
      <c r="BN25" s="66"/>
      <c r="BO25" s="66"/>
      <c r="BP25" s="66"/>
      <c r="BQ25" s="66"/>
      <c r="BR25" s="66"/>
      <c r="BS25" s="66"/>
      <c r="BT25" s="66"/>
      <c r="BU25" s="66"/>
      <c r="BV25" s="66"/>
      <c r="BW25" s="66"/>
      <c r="BX25" s="66"/>
      <c r="BY25" s="66"/>
      <c r="BZ25" s="66"/>
      <c r="CA25" s="84"/>
    </row>
    <row r="26" spans="2:80" s="22" customFormat="1" ht="15" hidden="1" customHeight="1" x14ac:dyDescent="0.3">
      <c r="B26" s="127"/>
      <c r="C26" s="127"/>
      <c r="D26" s="127"/>
      <c r="E26" s="127"/>
      <c r="F26" s="127"/>
      <c r="G26" s="127"/>
      <c r="H26" s="127"/>
      <c r="I26" s="127"/>
      <c r="L26" s="94">
        <f>IF(ISBLANK(L27),1,2)</f>
        <v>1</v>
      </c>
      <c r="O26" s="118"/>
      <c r="P26" s="129">
        <f>IF(ISBLANK(P27),1,2)</f>
        <v>1</v>
      </c>
      <c r="Q26" s="118"/>
      <c r="R26" s="118"/>
      <c r="S26" s="118"/>
      <c r="T26" s="129">
        <f>IF(ISBLANK(T27),1,2)</f>
        <v>1</v>
      </c>
      <c r="U26" s="118"/>
      <c r="V26" s="118"/>
      <c r="X26" s="94">
        <f>IF(ISBLANK(X27),1,2)</f>
        <v>1</v>
      </c>
      <c r="AB26" s="94">
        <f>IF(ISBLANK(AB27),1,2)</f>
        <v>1</v>
      </c>
      <c r="CA26" s="128"/>
    </row>
    <row r="27" spans="2:80" ht="13.95" customHeight="1" x14ac:dyDescent="0.3">
      <c r="I27" s="2"/>
      <c r="J27" s="2" t="s">
        <v>46</v>
      </c>
      <c r="K27" s="2"/>
      <c r="L27" s="209"/>
      <c r="M27" s="209"/>
      <c r="N27" s="209"/>
      <c r="P27" s="209"/>
      <c r="Q27" s="209"/>
      <c r="R27" s="209"/>
      <c r="T27" s="209"/>
      <c r="U27" s="209"/>
      <c r="V27" s="209"/>
      <c r="W27" s="4"/>
      <c r="X27" s="209"/>
      <c r="Y27" s="209"/>
      <c r="Z27" s="209"/>
      <c r="AB27" s="209"/>
      <c r="AC27" s="209"/>
      <c r="AD27" s="209"/>
      <c r="AE27" s="4"/>
      <c r="AF27" s="178" t="s">
        <v>13</v>
      </c>
      <c r="AG27" s="178"/>
      <c r="AH27" s="178"/>
      <c r="AI27" s="4"/>
      <c r="AJ27" s="4"/>
      <c r="AV27" s="92">
        <f>AV18+1</f>
        <v>6</v>
      </c>
      <c r="AW27" s="28" t="s">
        <v>328</v>
      </c>
      <c r="AY27" s="84"/>
      <c r="AZ27" s="66"/>
      <c r="BA27" s="66"/>
      <c r="BB27" s="66"/>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c r="CA27" s="66"/>
    </row>
    <row r="28" spans="2:80" ht="13.95" customHeight="1" x14ac:dyDescent="0.3">
      <c r="H28" s="2" t="s">
        <v>406</v>
      </c>
      <c r="I28" s="190" t="str">
        <f>IF($AM$18=0,"Units?",IF($AM$18=1,"(ac):",IF($AM$18=2,"(sq-ft):","Error")))</f>
        <v>Units?</v>
      </c>
      <c r="J28" s="190"/>
      <c r="K28" s="2"/>
      <c r="L28" s="175"/>
      <c r="M28" s="175"/>
      <c r="N28" s="175"/>
      <c r="P28" s="175"/>
      <c r="Q28" s="175"/>
      <c r="R28" s="175"/>
      <c r="T28" s="175"/>
      <c r="U28" s="175"/>
      <c r="V28" s="175"/>
      <c r="W28" s="4"/>
      <c r="X28" s="175"/>
      <c r="Y28" s="175"/>
      <c r="Z28" s="175"/>
      <c r="AB28" s="175"/>
      <c r="AC28" s="175"/>
      <c r="AD28" s="175"/>
      <c r="AE28" s="4"/>
      <c r="AF28" s="174"/>
      <c r="AG28" s="174"/>
      <c r="AH28" s="174"/>
      <c r="AI28" s="4"/>
      <c r="AJ28" s="4"/>
      <c r="AW28" s="28" t="s">
        <v>329</v>
      </c>
      <c r="AY28" s="84"/>
      <c r="AZ28" s="66"/>
      <c r="BA28" s="66"/>
      <c r="BB28" s="66"/>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c r="CA28" s="83"/>
    </row>
    <row r="29" spans="2:80" ht="13.95" customHeight="1" x14ac:dyDescent="0.3">
      <c r="I29" s="2"/>
      <c r="J29" s="2" t="s">
        <v>4</v>
      </c>
      <c r="K29" s="2"/>
      <c r="L29" s="181"/>
      <c r="M29" s="181"/>
      <c r="N29" s="181"/>
      <c r="P29" s="180"/>
      <c r="Q29" s="180"/>
      <c r="R29" s="180"/>
      <c r="S29" s="71"/>
      <c r="T29" s="180"/>
      <c r="U29" s="180"/>
      <c r="V29" s="180"/>
      <c r="W29" s="4"/>
      <c r="X29" s="180"/>
      <c r="Y29" s="180"/>
      <c r="Z29" s="180"/>
      <c r="AB29" s="180"/>
      <c r="AC29" s="180"/>
      <c r="AD29" s="180"/>
      <c r="AE29" s="4"/>
      <c r="AF29" s="115"/>
      <c r="AG29" s="115"/>
      <c r="AH29" s="115"/>
      <c r="AI29" s="4"/>
      <c r="AJ29" s="4"/>
      <c r="AW29" s="28" t="s">
        <v>267</v>
      </c>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c r="CA29" s="26"/>
    </row>
    <row r="30" spans="2:80" ht="13.95" customHeight="1" x14ac:dyDescent="0.3">
      <c r="I30" s="2"/>
      <c r="J30" s="2" t="s">
        <v>51</v>
      </c>
      <c r="K30" s="2"/>
      <c r="L30" s="181"/>
      <c r="M30" s="181"/>
      <c r="N30" s="181"/>
      <c r="P30" s="180"/>
      <c r="Q30" s="180"/>
      <c r="R30" s="180"/>
      <c r="S30" s="33"/>
      <c r="T30" s="180"/>
      <c r="U30" s="180"/>
      <c r="V30" s="180"/>
      <c r="W30" s="4"/>
      <c r="X30" s="180"/>
      <c r="Y30" s="180"/>
      <c r="Z30" s="180"/>
      <c r="AB30" s="180"/>
      <c r="AC30" s="180"/>
      <c r="AD30" s="180"/>
      <c r="AE30" s="4"/>
      <c r="AF30" s="33"/>
      <c r="AG30" s="33"/>
      <c r="AH30" s="33"/>
      <c r="AI30" s="4"/>
      <c r="AJ30" s="4"/>
      <c r="AL30" s="96">
        <f>SUM(AL31:AL36)</f>
        <v>0</v>
      </c>
      <c r="AM30" s="94">
        <f>SUM(AM31:AM36)</f>
        <v>0</v>
      </c>
      <c r="AN30" s="13" t="s">
        <v>13</v>
      </c>
      <c r="AV30" s="92">
        <f>AV27+1</f>
        <v>7</v>
      </c>
      <c r="AW30" s="28" t="s">
        <v>268</v>
      </c>
      <c r="AY30" s="23"/>
      <c r="AZ30" s="26"/>
      <c r="BA30" s="66"/>
      <c r="BB30" s="66"/>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row>
    <row r="31" spans="2:80" ht="13.95" customHeight="1" x14ac:dyDescent="0.3">
      <c r="D31" s="191" t="s">
        <v>346</v>
      </c>
      <c r="E31" s="191"/>
      <c r="F31" s="173">
        <f>Tables!$F$16</f>
        <v>4.21</v>
      </c>
      <c r="G31" s="173"/>
      <c r="H31" s="33"/>
      <c r="J31" s="2" t="str">
        <f>Tables!$D$16</f>
        <v>(2-yr)</v>
      </c>
      <c r="K31" s="2"/>
      <c r="L31" s="174"/>
      <c r="M31" s="174"/>
      <c r="N31" s="174"/>
      <c r="P31" s="174"/>
      <c r="Q31" s="174"/>
      <c r="R31" s="174"/>
      <c r="S31" s="39"/>
      <c r="T31" s="174"/>
      <c r="U31" s="174"/>
      <c r="V31" s="174"/>
      <c r="W31" s="4"/>
      <c r="X31" s="174"/>
      <c r="Y31" s="174"/>
      <c r="Z31" s="174"/>
      <c r="AB31" s="174"/>
      <c r="AC31" s="174"/>
      <c r="AD31" s="174"/>
      <c r="AE31" s="4"/>
      <c r="AF31" s="174"/>
      <c r="AG31" s="174"/>
      <c r="AH31" s="174"/>
      <c r="AI31" s="4"/>
      <c r="AJ31" s="4"/>
      <c r="AL31" s="94">
        <f t="shared" ref="AL31:AL36" si="1">IF(AF31=0,0,1)</f>
        <v>0</v>
      </c>
      <c r="AM31" s="94">
        <f t="shared" ref="AM31:AM36" si="2">IF(ISBLANK(AF31),0,1)</f>
        <v>0</v>
      </c>
      <c r="AV31" s="92"/>
      <c r="AW31" s="28" t="s">
        <v>330</v>
      </c>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row>
    <row r="32" spans="2:80" ht="13.95" customHeight="1" x14ac:dyDescent="0.3">
      <c r="D32" s="191"/>
      <c r="E32" s="191"/>
      <c r="F32" s="173">
        <f>Tables!$F$17</f>
        <v>5.24</v>
      </c>
      <c r="G32" s="173"/>
      <c r="H32" s="33"/>
      <c r="J32" s="2" t="str">
        <f>Tables!$D$17</f>
        <v>(5-yr)</v>
      </c>
      <c r="K32" s="2"/>
      <c r="L32" s="174"/>
      <c r="M32" s="174"/>
      <c r="N32" s="174"/>
      <c r="P32" s="174"/>
      <c r="Q32" s="174"/>
      <c r="R32" s="174"/>
      <c r="S32" s="39"/>
      <c r="T32" s="175"/>
      <c r="U32" s="175"/>
      <c r="V32" s="175"/>
      <c r="W32" s="4"/>
      <c r="X32" s="175"/>
      <c r="Y32" s="175"/>
      <c r="Z32" s="175"/>
      <c r="AB32" s="175"/>
      <c r="AC32" s="175"/>
      <c r="AD32" s="175"/>
      <c r="AE32" s="4"/>
      <c r="AF32" s="175"/>
      <c r="AG32" s="175"/>
      <c r="AH32" s="175"/>
      <c r="AI32" s="4"/>
      <c r="AJ32" s="4"/>
      <c r="AL32" s="94">
        <f t="shared" si="1"/>
        <v>0</v>
      </c>
      <c r="AM32" s="94">
        <f t="shared" si="2"/>
        <v>0</v>
      </c>
      <c r="AV32" s="92">
        <f>AV30+1</f>
        <v>8</v>
      </c>
      <c r="AW32" s="28" t="s">
        <v>567</v>
      </c>
      <c r="CB32" s="66"/>
    </row>
    <row r="33" spans="2:80" ht="13.95" customHeight="1" x14ac:dyDescent="0.3">
      <c r="D33" s="191"/>
      <c r="E33" s="191"/>
      <c r="F33" s="173">
        <f>Tables!$F$18</f>
        <v>6.17</v>
      </c>
      <c r="G33" s="173"/>
      <c r="H33" s="33"/>
      <c r="J33" s="2" t="str">
        <f>Tables!$D$18</f>
        <v>(10-yr)</v>
      </c>
      <c r="K33" s="2"/>
      <c r="L33" s="174"/>
      <c r="M33" s="174"/>
      <c r="N33" s="174"/>
      <c r="P33" s="175"/>
      <c r="Q33" s="175"/>
      <c r="R33" s="175"/>
      <c r="S33" s="39"/>
      <c r="T33" s="175"/>
      <c r="U33" s="175"/>
      <c r="V33" s="175"/>
      <c r="W33" s="4"/>
      <c r="X33" s="175"/>
      <c r="Y33" s="175"/>
      <c r="Z33" s="175"/>
      <c r="AB33" s="175"/>
      <c r="AC33" s="175"/>
      <c r="AD33" s="175"/>
      <c r="AE33" s="4"/>
      <c r="AF33" s="175"/>
      <c r="AG33" s="175"/>
      <c r="AH33" s="175"/>
      <c r="AI33" s="4"/>
      <c r="AJ33" s="4"/>
      <c r="AL33" s="94">
        <f t="shared" si="1"/>
        <v>0</v>
      </c>
      <c r="AM33" s="94">
        <f t="shared" si="2"/>
        <v>0</v>
      </c>
      <c r="AW33" s="28" t="s">
        <v>540</v>
      </c>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c r="CA33" s="26"/>
      <c r="CB33" s="73"/>
    </row>
    <row r="34" spans="2:80" ht="13.95" customHeight="1" x14ac:dyDescent="0.3">
      <c r="D34" s="191"/>
      <c r="E34" s="191"/>
      <c r="F34" s="173">
        <f>Tables!$F$19</f>
        <v>7.55</v>
      </c>
      <c r="G34" s="173"/>
      <c r="H34" s="33"/>
      <c r="J34" s="2" t="str">
        <f>Tables!$D$19</f>
        <v>(25-yr)</v>
      </c>
      <c r="K34" s="2"/>
      <c r="L34" s="174"/>
      <c r="M34" s="174"/>
      <c r="N34" s="174"/>
      <c r="P34" s="175"/>
      <c r="Q34" s="175"/>
      <c r="R34" s="175"/>
      <c r="S34" s="39"/>
      <c r="T34" s="175"/>
      <c r="U34" s="175"/>
      <c r="V34" s="175"/>
      <c r="W34" s="4"/>
      <c r="X34" s="175"/>
      <c r="Y34" s="175"/>
      <c r="Z34" s="175"/>
      <c r="AB34" s="175"/>
      <c r="AC34" s="175"/>
      <c r="AD34" s="175"/>
      <c r="AE34" s="4"/>
      <c r="AF34" s="175"/>
      <c r="AG34" s="175"/>
      <c r="AH34" s="175"/>
      <c r="AI34" s="4"/>
      <c r="AJ34" s="4"/>
      <c r="AL34" s="94">
        <f t="shared" si="1"/>
        <v>0</v>
      </c>
      <c r="AM34" s="94">
        <f t="shared" si="2"/>
        <v>0</v>
      </c>
      <c r="AV34" s="92">
        <f>AV32+1</f>
        <v>9</v>
      </c>
      <c r="AW34" s="28" t="s">
        <v>417</v>
      </c>
      <c r="CB34" s="73"/>
    </row>
    <row r="35" spans="2:80" ht="13.95" customHeight="1" x14ac:dyDescent="0.3">
      <c r="D35" s="191"/>
      <c r="E35" s="191"/>
      <c r="F35" s="173">
        <f>Tables!$F$20</f>
        <v>8.6999999999999993</v>
      </c>
      <c r="G35" s="173"/>
      <c r="H35" s="33"/>
      <c r="J35" s="2" t="str">
        <f>Tables!$D$20</f>
        <v>(50-yr)</v>
      </c>
      <c r="K35" s="2"/>
      <c r="L35" s="174"/>
      <c r="M35" s="174"/>
      <c r="N35" s="174"/>
      <c r="P35" s="175"/>
      <c r="Q35" s="175"/>
      <c r="R35" s="175"/>
      <c r="S35" s="39"/>
      <c r="T35" s="175"/>
      <c r="U35" s="175"/>
      <c r="V35" s="175"/>
      <c r="W35" s="4"/>
      <c r="X35" s="175"/>
      <c r="Y35" s="175"/>
      <c r="Z35" s="175"/>
      <c r="AB35" s="175"/>
      <c r="AC35" s="175"/>
      <c r="AD35" s="175"/>
      <c r="AE35" s="4"/>
      <c r="AF35" s="175"/>
      <c r="AG35" s="175"/>
      <c r="AH35" s="175"/>
      <c r="AI35" s="4"/>
      <c r="AJ35" s="4"/>
      <c r="AL35" s="94">
        <f t="shared" si="1"/>
        <v>0</v>
      </c>
      <c r="AM35" s="94">
        <f t="shared" si="2"/>
        <v>0</v>
      </c>
      <c r="AW35" s="28" t="s">
        <v>418</v>
      </c>
      <c r="CB35" s="73"/>
    </row>
    <row r="36" spans="2:80" ht="13.95" customHeight="1" x14ac:dyDescent="0.3">
      <c r="D36" s="191"/>
      <c r="E36" s="191"/>
      <c r="F36" s="173">
        <f>Tables!$F$21</f>
        <v>9.93</v>
      </c>
      <c r="G36" s="173"/>
      <c r="H36" s="33"/>
      <c r="J36" s="2" t="str">
        <f>Tables!$D$21</f>
        <v>(100-yr)</v>
      </c>
      <c r="K36" s="2"/>
      <c r="L36" s="174"/>
      <c r="M36" s="174"/>
      <c r="N36" s="174"/>
      <c r="P36" s="175"/>
      <c r="Q36" s="175"/>
      <c r="R36" s="175"/>
      <c r="S36" s="39"/>
      <c r="T36" s="175"/>
      <c r="U36" s="175"/>
      <c r="V36" s="175"/>
      <c r="W36" s="4"/>
      <c r="X36" s="175"/>
      <c r="Y36" s="175"/>
      <c r="Z36" s="175"/>
      <c r="AB36" s="175"/>
      <c r="AC36" s="175"/>
      <c r="AD36" s="175"/>
      <c r="AE36" s="4"/>
      <c r="AF36" s="175"/>
      <c r="AG36" s="175"/>
      <c r="AH36" s="175"/>
      <c r="AI36" s="4"/>
      <c r="AJ36" s="4"/>
      <c r="AL36" s="94">
        <f t="shared" si="1"/>
        <v>0</v>
      </c>
      <c r="AM36" s="94">
        <f t="shared" si="2"/>
        <v>0</v>
      </c>
      <c r="AW36" s="28" t="s">
        <v>419</v>
      </c>
      <c r="CB36" s="73"/>
    </row>
    <row r="37" spans="2:80" ht="4.95" customHeight="1" x14ac:dyDescent="0.3">
      <c r="D37" s="102"/>
      <c r="E37" s="102"/>
      <c r="F37" s="102"/>
      <c r="G37" s="102"/>
      <c r="H37" s="102"/>
      <c r="I37" s="102"/>
      <c r="J37" s="102"/>
      <c r="K37" s="102"/>
      <c r="L37" s="102"/>
      <c r="M37" s="102"/>
      <c r="N37" s="102"/>
      <c r="O37" s="102"/>
      <c r="P37" s="102"/>
      <c r="Q37" s="102"/>
      <c r="R37" s="102"/>
      <c r="S37" s="102"/>
      <c r="T37" s="102"/>
      <c r="U37" s="102"/>
      <c r="V37" s="102"/>
      <c r="W37" s="102"/>
      <c r="X37" s="102"/>
      <c r="Y37" s="102"/>
      <c r="Z37" s="102"/>
      <c r="AA37" s="102"/>
      <c r="AB37" s="102"/>
      <c r="AC37" s="102"/>
      <c r="AD37" s="102"/>
      <c r="AE37" s="102"/>
      <c r="AF37" s="102"/>
      <c r="AG37" s="102"/>
      <c r="AH37" s="102"/>
      <c r="AI37" s="102"/>
      <c r="AJ37" s="4"/>
      <c r="AL37" s="22"/>
      <c r="AM37" s="22"/>
      <c r="CB37" s="73"/>
    </row>
    <row r="38" spans="2:80" ht="13.95" customHeight="1" x14ac:dyDescent="0.3">
      <c r="B38" s="1" t="s">
        <v>11</v>
      </c>
      <c r="C38" s="1"/>
      <c r="D38" s="1"/>
      <c r="E38" s="1"/>
      <c r="F38" s="1"/>
      <c r="G38" s="1"/>
      <c r="H38" s="1"/>
      <c r="I38" s="1"/>
      <c r="AW38" s="28" t="s">
        <v>572</v>
      </c>
      <c r="AX38" s="84"/>
      <c r="AY38" s="72"/>
      <c r="AZ38" s="72"/>
      <c r="BA38" s="72"/>
      <c r="BB38" s="72"/>
      <c r="BC38" s="72"/>
      <c r="BD38" s="72"/>
      <c r="BE38" s="72"/>
      <c r="BF38" s="72"/>
      <c r="BG38" s="72"/>
      <c r="BH38" s="72"/>
      <c r="BI38" s="72"/>
      <c r="BJ38" s="72"/>
      <c r="BK38" s="72"/>
      <c r="BL38" s="72"/>
      <c r="BM38" s="72"/>
      <c r="BN38" s="72"/>
      <c r="BO38" s="72"/>
      <c r="BP38" s="72"/>
      <c r="BQ38" s="72"/>
      <c r="BR38" s="72"/>
      <c r="BS38" s="72"/>
      <c r="BT38" s="72"/>
      <c r="BU38" s="72"/>
      <c r="BV38" s="72"/>
      <c r="BW38" s="72"/>
      <c r="BX38" s="72"/>
      <c r="BY38" s="72"/>
      <c r="BZ38" s="72"/>
      <c r="CA38" s="72"/>
      <c r="CB38" s="73"/>
    </row>
    <row r="39" spans="2:80" s="22" customFormat="1" ht="15" hidden="1" customHeight="1" x14ac:dyDescent="0.3">
      <c r="B39" s="127"/>
      <c r="C39" s="127"/>
      <c r="D39" s="127"/>
      <c r="E39" s="127"/>
      <c r="F39" s="127"/>
      <c r="G39" s="127"/>
      <c r="H39" s="127"/>
      <c r="I39" s="127"/>
      <c r="L39" s="94">
        <f>IF(ISBLANK(L40),1,2)</f>
        <v>1</v>
      </c>
      <c r="P39" s="94">
        <f>IF(ISBLANK(P40),1,2)</f>
        <v>1</v>
      </c>
      <c r="T39" s="94">
        <f>IF(ISBLANK(T40),1,2)</f>
        <v>1</v>
      </c>
      <c r="X39" s="94">
        <f>IF(ISBLANK(X40),1,2)</f>
        <v>1</v>
      </c>
      <c r="AB39" s="94">
        <f>IF(ISBLANK(AB40),1,2)</f>
        <v>1</v>
      </c>
      <c r="AU39" s="4"/>
    </row>
    <row r="40" spans="2:80" ht="13.95" customHeight="1" x14ac:dyDescent="0.3">
      <c r="I40" s="2"/>
      <c r="J40" s="2" t="s">
        <v>46</v>
      </c>
      <c r="K40" s="2"/>
      <c r="L40" s="209"/>
      <c r="M40" s="209"/>
      <c r="N40" s="209"/>
      <c r="P40" s="209"/>
      <c r="Q40" s="209"/>
      <c r="R40" s="209"/>
      <c r="S40" s="4"/>
      <c r="T40" s="209"/>
      <c r="U40" s="209"/>
      <c r="V40" s="209"/>
      <c r="W40" s="4"/>
      <c r="X40" s="209"/>
      <c r="Y40" s="209"/>
      <c r="Z40" s="209"/>
      <c r="AB40" s="209"/>
      <c r="AC40" s="209"/>
      <c r="AD40" s="209"/>
      <c r="AE40" s="4"/>
      <c r="AG40" s="4" t="s">
        <v>12</v>
      </c>
      <c r="AH40" s="4"/>
      <c r="AI40" s="4"/>
      <c r="AJ40" s="4"/>
      <c r="AW40" s="28" t="s">
        <v>420</v>
      </c>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c r="CA40" s="26"/>
      <c r="CB40" s="73"/>
    </row>
    <row r="41" spans="2:80" ht="13.95" customHeight="1" x14ac:dyDescent="0.3">
      <c r="H41" s="2" t="s">
        <v>406</v>
      </c>
      <c r="I41" s="190" t="str">
        <f>IF($AM$18=0,"Units?",IF($AM$18=1,"(ac):",IF($AM$18=2,"(sq-ft):","Error")))</f>
        <v>Units?</v>
      </c>
      <c r="J41" s="190"/>
      <c r="K41" s="2"/>
      <c r="L41" s="174"/>
      <c r="M41" s="174"/>
      <c r="N41" s="174"/>
      <c r="P41" s="175"/>
      <c r="Q41" s="175"/>
      <c r="R41" s="175"/>
      <c r="S41" s="4"/>
      <c r="T41" s="175"/>
      <c r="U41" s="175"/>
      <c r="V41" s="175"/>
      <c r="W41" s="4"/>
      <c r="X41" s="175"/>
      <c r="Y41" s="175"/>
      <c r="Z41" s="175"/>
      <c r="AB41" s="175"/>
      <c r="AC41" s="175"/>
      <c r="AD41" s="175"/>
      <c r="AE41" s="4"/>
      <c r="AF41" s="174"/>
      <c r="AG41" s="174"/>
      <c r="AH41" s="174"/>
      <c r="AI41" s="4"/>
      <c r="AJ41" s="4"/>
      <c r="AV41" s="92">
        <f>AV34+1</f>
        <v>10</v>
      </c>
      <c r="AW41" s="28" t="s">
        <v>294</v>
      </c>
      <c r="AX41" s="84"/>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c r="CA41" s="26"/>
      <c r="CB41" s="216"/>
    </row>
    <row r="42" spans="2:80" ht="13.95" customHeight="1" x14ac:dyDescent="0.3">
      <c r="I42" s="2"/>
      <c r="J42" s="2" t="s">
        <v>4</v>
      </c>
      <c r="K42" s="2"/>
      <c r="L42" s="181"/>
      <c r="M42" s="181"/>
      <c r="N42" s="181"/>
      <c r="P42" s="180"/>
      <c r="Q42" s="180"/>
      <c r="R42" s="180"/>
      <c r="S42" s="4"/>
      <c r="T42" s="180"/>
      <c r="U42" s="180"/>
      <c r="V42" s="180"/>
      <c r="W42" s="4"/>
      <c r="X42" s="180"/>
      <c r="Y42" s="180"/>
      <c r="Z42" s="180"/>
      <c r="AB42" s="180"/>
      <c r="AC42" s="180"/>
      <c r="AD42" s="180"/>
      <c r="AE42" s="4"/>
      <c r="AF42" s="115"/>
      <c r="AG42" s="115"/>
      <c r="AH42" s="115"/>
      <c r="AI42" s="4"/>
      <c r="AJ42" s="4"/>
      <c r="AV42" s="23">
        <f>AV41+1</f>
        <v>11</v>
      </c>
      <c r="AW42" s="28" t="s">
        <v>421</v>
      </c>
      <c r="AX42" s="84"/>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16"/>
    </row>
    <row r="43" spans="2:80" ht="13.95" customHeight="1" x14ac:dyDescent="0.3">
      <c r="I43" s="2"/>
      <c r="J43" s="2" t="s">
        <v>51</v>
      </c>
      <c r="K43" s="2"/>
      <c r="L43" s="181"/>
      <c r="M43" s="181"/>
      <c r="N43" s="181"/>
      <c r="P43" s="180"/>
      <c r="Q43" s="180"/>
      <c r="R43" s="180"/>
      <c r="S43" s="4"/>
      <c r="T43" s="180"/>
      <c r="U43" s="180"/>
      <c r="V43" s="180"/>
      <c r="W43" s="4"/>
      <c r="X43" s="180"/>
      <c r="Y43" s="180"/>
      <c r="Z43" s="180"/>
      <c r="AB43" s="180"/>
      <c r="AC43" s="180"/>
      <c r="AD43" s="180"/>
      <c r="AE43" s="4"/>
      <c r="AF43" s="33"/>
      <c r="AG43" s="33"/>
      <c r="AH43" s="33"/>
      <c r="AI43" s="4"/>
      <c r="AJ43" s="4"/>
      <c r="AL43" s="96">
        <f>SUM(AL44:AL49)</f>
        <v>0</v>
      </c>
      <c r="AM43" s="94">
        <f>SUM(AM44:AM49)</f>
        <v>0</v>
      </c>
      <c r="AN43" s="13" t="s">
        <v>12</v>
      </c>
      <c r="AV43" s="23">
        <f>AV42+1</f>
        <v>12</v>
      </c>
      <c r="AW43" s="28" t="s">
        <v>422</v>
      </c>
      <c r="AX43" s="84"/>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c r="CA43" s="26"/>
      <c r="CB43" s="27"/>
    </row>
    <row r="44" spans="2:80" ht="13.95" customHeight="1" x14ac:dyDescent="0.3">
      <c r="D44" s="191" t="s">
        <v>346</v>
      </c>
      <c r="E44" s="191"/>
      <c r="F44" s="173">
        <f>Tables!$F$16</f>
        <v>4.21</v>
      </c>
      <c r="G44" s="173"/>
      <c r="H44" s="33"/>
      <c r="J44" s="2" t="str">
        <f>Tables!$D$16</f>
        <v>(2-yr)</v>
      </c>
      <c r="K44" s="2"/>
      <c r="L44" s="174"/>
      <c r="M44" s="174"/>
      <c r="N44" s="174"/>
      <c r="P44" s="174"/>
      <c r="Q44" s="174"/>
      <c r="R44" s="174"/>
      <c r="S44" s="4"/>
      <c r="T44" s="174"/>
      <c r="U44" s="174"/>
      <c r="V44" s="174"/>
      <c r="W44" s="4"/>
      <c r="X44" s="174"/>
      <c r="Y44" s="174"/>
      <c r="Z44" s="174"/>
      <c r="AB44" s="174"/>
      <c r="AC44" s="174"/>
      <c r="AD44" s="174"/>
      <c r="AE44" s="4"/>
      <c r="AF44" s="174"/>
      <c r="AG44" s="174"/>
      <c r="AH44" s="174"/>
      <c r="AI44" s="4"/>
      <c r="AJ44" s="4"/>
      <c r="AL44" s="94">
        <f t="shared" ref="AL44:AL49" si="3">IF(AF44=0,0,1)</f>
        <v>0</v>
      </c>
      <c r="AM44" s="94">
        <f t="shared" ref="AM44:AM49" si="4">IF(ISBLANK(AF44),0,1)</f>
        <v>0</v>
      </c>
      <c r="AV44" s="23">
        <f>AV43+1</f>
        <v>13</v>
      </c>
      <c r="AW44" s="28" t="s">
        <v>560</v>
      </c>
      <c r="AX44" s="90"/>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c r="CA44" s="26"/>
      <c r="CB44" s="27"/>
    </row>
    <row r="45" spans="2:80" ht="13.95" customHeight="1" x14ac:dyDescent="0.3">
      <c r="D45" s="191"/>
      <c r="E45" s="191"/>
      <c r="F45" s="173">
        <f>Tables!$F$17</f>
        <v>5.24</v>
      </c>
      <c r="G45" s="173"/>
      <c r="H45" s="33"/>
      <c r="J45" s="2" t="str">
        <f>Tables!$D$17</f>
        <v>(5-yr)</v>
      </c>
      <c r="K45" s="2"/>
      <c r="L45" s="174"/>
      <c r="M45" s="174"/>
      <c r="N45" s="174"/>
      <c r="P45" s="175"/>
      <c r="Q45" s="175"/>
      <c r="R45" s="175"/>
      <c r="S45" s="4"/>
      <c r="T45" s="175"/>
      <c r="U45" s="175"/>
      <c r="V45" s="175"/>
      <c r="W45" s="4"/>
      <c r="X45" s="175"/>
      <c r="Y45" s="175"/>
      <c r="Z45" s="175"/>
      <c r="AB45" s="175"/>
      <c r="AC45" s="175"/>
      <c r="AD45" s="175"/>
      <c r="AE45" s="4"/>
      <c r="AF45" s="175"/>
      <c r="AG45" s="175"/>
      <c r="AH45" s="175"/>
      <c r="AI45" s="4"/>
      <c r="AJ45" s="4"/>
      <c r="AL45" s="94">
        <f t="shared" si="3"/>
        <v>0</v>
      </c>
      <c r="AM45" s="94">
        <f t="shared" si="4"/>
        <v>0</v>
      </c>
      <c r="AV45" s="92">
        <f>AV44+1</f>
        <v>14</v>
      </c>
      <c r="AW45" s="28" t="s">
        <v>365</v>
      </c>
      <c r="AX45" s="84"/>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7"/>
    </row>
    <row r="46" spans="2:80" ht="13.95" customHeight="1" x14ac:dyDescent="0.3">
      <c r="D46" s="191"/>
      <c r="E46" s="191"/>
      <c r="F46" s="173">
        <f>Tables!$F$18</f>
        <v>6.17</v>
      </c>
      <c r="G46" s="173"/>
      <c r="H46" s="33"/>
      <c r="J46" s="2" t="str">
        <f>Tables!$D$18</f>
        <v>(10-yr)</v>
      </c>
      <c r="K46" s="2"/>
      <c r="L46" s="174"/>
      <c r="M46" s="174"/>
      <c r="N46" s="174"/>
      <c r="P46" s="175"/>
      <c r="Q46" s="175"/>
      <c r="R46" s="175"/>
      <c r="S46" s="4"/>
      <c r="T46" s="175"/>
      <c r="U46" s="175"/>
      <c r="V46" s="175"/>
      <c r="W46" s="4"/>
      <c r="X46" s="175"/>
      <c r="Y46" s="175"/>
      <c r="Z46" s="175"/>
      <c r="AB46" s="175"/>
      <c r="AC46" s="175"/>
      <c r="AD46" s="175"/>
      <c r="AE46" s="4"/>
      <c r="AF46" s="175"/>
      <c r="AG46" s="175"/>
      <c r="AH46" s="175"/>
      <c r="AI46" s="4"/>
      <c r="AJ46" s="4"/>
      <c r="AL46" s="94">
        <f t="shared" si="3"/>
        <v>0</v>
      </c>
      <c r="AM46" s="94">
        <f t="shared" si="4"/>
        <v>0</v>
      </c>
      <c r="AW46" s="84"/>
      <c r="AX46" s="84"/>
      <c r="CB46" s="27"/>
    </row>
    <row r="47" spans="2:80" ht="13.95" customHeight="1" x14ac:dyDescent="0.3">
      <c r="D47" s="191"/>
      <c r="E47" s="191"/>
      <c r="F47" s="173">
        <f>Tables!$F$19</f>
        <v>7.55</v>
      </c>
      <c r="G47" s="173"/>
      <c r="H47" s="33"/>
      <c r="J47" s="2" t="str">
        <f>Tables!$D$19</f>
        <v>(25-yr)</v>
      </c>
      <c r="K47" s="2"/>
      <c r="L47" s="174"/>
      <c r="M47" s="174"/>
      <c r="N47" s="174"/>
      <c r="P47" s="175"/>
      <c r="Q47" s="175"/>
      <c r="R47" s="175"/>
      <c r="S47" s="4"/>
      <c r="T47" s="175"/>
      <c r="U47" s="175"/>
      <c r="V47" s="175"/>
      <c r="W47" s="4"/>
      <c r="X47" s="175"/>
      <c r="Y47" s="175"/>
      <c r="Z47" s="175"/>
      <c r="AB47" s="175"/>
      <c r="AC47" s="175"/>
      <c r="AD47" s="175"/>
      <c r="AE47" s="4"/>
      <c r="AF47" s="175"/>
      <c r="AG47" s="175"/>
      <c r="AH47" s="175"/>
      <c r="AI47" s="4"/>
      <c r="AJ47" s="4"/>
      <c r="AL47" s="94">
        <f t="shared" si="3"/>
        <v>0</v>
      </c>
      <c r="AM47" s="94">
        <f t="shared" si="4"/>
        <v>0</v>
      </c>
      <c r="AW47" s="84"/>
      <c r="AX47" s="84"/>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7"/>
    </row>
    <row r="48" spans="2:80" ht="13.95" customHeight="1" x14ac:dyDescent="0.3">
      <c r="D48" s="191"/>
      <c r="E48" s="191"/>
      <c r="F48" s="173">
        <f>Tables!$F$20</f>
        <v>8.6999999999999993</v>
      </c>
      <c r="G48" s="173"/>
      <c r="H48" s="33"/>
      <c r="J48" s="2" t="str">
        <f>Tables!$D$20</f>
        <v>(50-yr)</v>
      </c>
      <c r="K48" s="2"/>
      <c r="L48" s="174"/>
      <c r="M48" s="174"/>
      <c r="N48" s="174"/>
      <c r="P48" s="175"/>
      <c r="Q48" s="175"/>
      <c r="R48" s="175"/>
      <c r="S48" s="4"/>
      <c r="T48" s="175"/>
      <c r="U48" s="175"/>
      <c r="V48" s="175"/>
      <c r="W48" s="4"/>
      <c r="X48" s="175"/>
      <c r="Y48" s="175"/>
      <c r="Z48" s="175"/>
      <c r="AB48" s="175"/>
      <c r="AC48" s="175"/>
      <c r="AD48" s="175"/>
      <c r="AE48" s="4"/>
      <c r="AF48" s="175"/>
      <c r="AG48" s="175"/>
      <c r="AH48" s="175"/>
      <c r="AI48" s="4"/>
      <c r="AJ48" s="4"/>
      <c r="AL48" s="94">
        <f t="shared" si="3"/>
        <v>0</v>
      </c>
      <c r="AM48" s="94">
        <f t="shared" si="4"/>
        <v>0</v>
      </c>
      <c r="AW48" s="84"/>
      <c r="AX48" s="84"/>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73"/>
    </row>
    <row r="49" spans="2:80" ht="13.95" customHeight="1" x14ac:dyDescent="0.3">
      <c r="D49" s="191"/>
      <c r="E49" s="191"/>
      <c r="F49" s="173">
        <f>Tables!$F$21</f>
        <v>9.93</v>
      </c>
      <c r="G49" s="173"/>
      <c r="H49" s="33"/>
      <c r="J49" s="2" t="str">
        <f>Tables!$D$21</f>
        <v>(100-yr)</v>
      </c>
      <c r="K49" s="2"/>
      <c r="L49" s="174"/>
      <c r="M49" s="174"/>
      <c r="N49" s="174"/>
      <c r="P49" s="175"/>
      <c r="Q49" s="175"/>
      <c r="R49" s="175"/>
      <c r="S49" s="4"/>
      <c r="T49" s="175"/>
      <c r="U49" s="175"/>
      <c r="V49" s="175"/>
      <c r="W49" s="4"/>
      <c r="X49" s="175"/>
      <c r="Y49" s="175"/>
      <c r="Z49" s="175"/>
      <c r="AB49" s="175"/>
      <c r="AC49" s="175"/>
      <c r="AD49" s="175"/>
      <c r="AE49" s="4"/>
      <c r="AF49" s="175"/>
      <c r="AG49" s="175"/>
      <c r="AH49" s="175"/>
      <c r="AI49" s="4"/>
      <c r="AJ49" s="4"/>
      <c r="AL49" s="94">
        <f t="shared" si="3"/>
        <v>0</v>
      </c>
      <c r="AM49" s="94">
        <f t="shared" si="4"/>
        <v>0</v>
      </c>
      <c r="AW49" s="84"/>
      <c r="AX49" s="84"/>
    </row>
    <row r="50" spans="2:80" ht="14.55" customHeight="1" x14ac:dyDescent="0.3">
      <c r="AK50" s="33"/>
      <c r="AW50" s="84"/>
      <c r="AX50" s="84"/>
    </row>
    <row r="51" spans="2:80" ht="14.55" customHeight="1" x14ac:dyDescent="0.3">
      <c r="B51" s="1" t="s">
        <v>555</v>
      </c>
      <c r="AW51" s="84"/>
      <c r="AX51" s="84"/>
    </row>
    <row r="52" spans="2:80" ht="4.95" customHeight="1" x14ac:dyDescent="0.3">
      <c r="AW52" s="84"/>
      <c r="AX52" s="84"/>
    </row>
    <row r="53" spans="2:80" ht="14.55" customHeight="1" x14ac:dyDescent="0.3">
      <c r="C53" s="161"/>
      <c r="D53" s="28" t="s">
        <v>115</v>
      </c>
      <c r="F53" s="161"/>
      <c r="G53" s="28" t="s">
        <v>116</v>
      </c>
      <c r="H53" s="4"/>
      <c r="I53" s="28" t="s">
        <v>554</v>
      </c>
      <c r="V53" s="2"/>
      <c r="W53" s="101"/>
      <c r="Z53" s="101"/>
      <c r="AL53" s="94">
        <f>IF(AND(ISBLANK(C53),ISBLANK(F53)),1,2)</f>
        <v>1</v>
      </c>
      <c r="AW53" s="84"/>
      <c r="AX53" s="84"/>
    </row>
    <row r="54" spans="2:80" ht="14.55" customHeight="1" x14ac:dyDescent="0.3">
      <c r="C54" s="130"/>
      <c r="F54" s="130"/>
      <c r="H54" s="4"/>
      <c r="I54" s="28" t="s">
        <v>571</v>
      </c>
      <c r="V54" s="2"/>
      <c r="W54" s="101"/>
      <c r="Z54" s="101"/>
      <c r="AL54" s="22"/>
      <c r="AW54" s="84"/>
      <c r="AX54" s="84"/>
    </row>
    <row r="55" spans="2:80" ht="14.55" customHeight="1" x14ac:dyDescent="0.3">
      <c r="B55" s="203">
        <f>Tables!$F$13</f>
        <v>46266</v>
      </c>
      <c r="C55" s="203"/>
      <c r="D55" s="203"/>
      <c r="E55" s="203"/>
      <c r="F55" s="203"/>
      <c r="G55" s="203"/>
      <c r="H55" s="203"/>
      <c r="R55" s="178" t="s">
        <v>300</v>
      </c>
      <c r="S55" s="178"/>
      <c r="T55" s="178"/>
      <c r="U55" s="178"/>
      <c r="AK55" s="33"/>
    </row>
    <row r="56" spans="2:80" ht="15" customHeight="1" x14ac:dyDescent="0.3">
      <c r="C56" s="2" t="s">
        <v>1</v>
      </c>
      <c r="D56" s="188">
        <f>IF(ISBLANK($E$7),0,$E$7)</f>
        <v>0</v>
      </c>
      <c r="E56" s="188"/>
      <c r="F56" s="188"/>
      <c r="G56" s="188"/>
      <c r="H56" s="188"/>
      <c r="I56" s="188"/>
      <c r="J56" s="188"/>
      <c r="K56" s="188"/>
      <c r="L56" s="188"/>
      <c r="M56" s="188"/>
      <c r="N56" s="188"/>
      <c r="O56" s="188"/>
      <c r="P56" s="188"/>
      <c r="Q56" s="188"/>
      <c r="R56" s="188"/>
      <c r="S56" s="188"/>
      <c r="T56" s="188"/>
      <c r="U56" s="188"/>
      <c r="V56" s="188"/>
      <c r="W56" s="188"/>
      <c r="X56" s="188"/>
      <c r="Y56" s="188"/>
      <c r="AD56" s="2" t="s">
        <v>19</v>
      </c>
      <c r="AE56" s="186">
        <f>IF(ISBLANK($AE$7),0,$AE$7)</f>
        <v>0</v>
      </c>
      <c r="AF56" s="186"/>
      <c r="AG56" s="186"/>
      <c r="AH56" s="186"/>
      <c r="AI56" s="186"/>
      <c r="AJ56" s="186"/>
      <c r="AW56" s="23"/>
      <c r="AX56" s="23"/>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c r="CA56" s="26"/>
      <c r="CB56" s="27"/>
    </row>
    <row r="57" spans="2:80" ht="15" customHeight="1" x14ac:dyDescent="0.3">
      <c r="B57" s="2"/>
      <c r="C57" s="2"/>
      <c r="D57" s="2"/>
      <c r="E57" s="2"/>
      <c r="F57" s="2"/>
      <c r="G57" s="2"/>
      <c r="H57" s="2"/>
      <c r="I57" s="2"/>
      <c r="J57" s="2"/>
      <c r="K57" s="2"/>
      <c r="L57" s="2"/>
      <c r="M57" s="2"/>
      <c r="N57" s="2"/>
      <c r="O57" s="2"/>
      <c r="P57" s="2"/>
      <c r="Q57" s="2"/>
      <c r="R57" s="2"/>
      <c r="S57" s="2"/>
      <c r="T57" s="2"/>
      <c r="U57" s="2"/>
      <c r="V57" s="2"/>
      <c r="W57" s="2"/>
      <c r="X57" s="2"/>
      <c r="Y57" s="2"/>
      <c r="Z57" s="2"/>
      <c r="AD57" s="2" t="s">
        <v>32</v>
      </c>
      <c r="AE57" s="187">
        <f>IF(ISBLANK($AE$8),0,$AE$8)</f>
        <v>0</v>
      </c>
      <c r="AF57" s="187"/>
      <c r="AG57" s="187"/>
      <c r="AH57" s="187"/>
      <c r="AI57" s="187"/>
      <c r="AJ57" s="187"/>
      <c r="AK57" s="2"/>
      <c r="AL57" s="70"/>
      <c r="AM57" s="70"/>
      <c r="AN57" s="70"/>
      <c r="AO57" s="70"/>
      <c r="AP57" s="70"/>
      <c r="AQ57" s="70"/>
      <c r="AR57" s="70"/>
      <c r="AS57" s="70"/>
      <c r="AT57" s="70"/>
      <c r="AU57" s="2"/>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c r="CA57" s="26"/>
      <c r="CB57" s="27"/>
    </row>
    <row r="58" spans="2:80" ht="15" customHeight="1" x14ac:dyDescent="0.3">
      <c r="B58" s="1" t="s">
        <v>534</v>
      </c>
      <c r="C58" s="1"/>
      <c r="D58" s="1"/>
      <c r="E58" s="1"/>
      <c r="F58" s="1"/>
      <c r="G58" s="1"/>
      <c r="H58" s="1"/>
      <c r="K58" s="2"/>
      <c r="L58" s="2"/>
      <c r="M58" s="2"/>
      <c r="N58" s="2"/>
      <c r="O58" s="2"/>
      <c r="P58" s="2"/>
      <c r="Q58" s="2"/>
      <c r="R58" s="2"/>
      <c r="S58" s="2"/>
      <c r="T58" s="2"/>
      <c r="U58" s="2"/>
      <c r="V58" s="2"/>
      <c r="W58" s="2"/>
      <c r="X58" s="2"/>
      <c r="Y58" s="2"/>
      <c r="Z58" s="2"/>
      <c r="AA58" s="2"/>
      <c r="AB58" s="2"/>
      <c r="AF58" s="2"/>
      <c r="AG58" s="2"/>
      <c r="AH58" s="2"/>
      <c r="AI58" s="2"/>
      <c r="AJ58" s="2"/>
      <c r="AK58" s="2"/>
      <c r="AL58" s="70"/>
      <c r="AM58" s="70"/>
      <c r="AN58" s="70"/>
      <c r="AO58" s="70"/>
      <c r="AP58" s="70"/>
      <c r="AQ58" s="70"/>
      <c r="AR58" s="70"/>
      <c r="AS58" s="70"/>
      <c r="AT58" s="70"/>
      <c r="AU58" s="2"/>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7"/>
    </row>
    <row r="59" spans="2:80" ht="4.95" customHeight="1" x14ac:dyDescent="0.3">
      <c r="AK59" s="2"/>
      <c r="AN59" s="70"/>
      <c r="AO59" s="70"/>
      <c r="AP59" s="70"/>
      <c r="AQ59" s="70"/>
      <c r="AR59" s="70"/>
      <c r="AS59" s="70"/>
      <c r="AT59" s="70"/>
      <c r="AU59" s="2"/>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7"/>
    </row>
    <row r="60" spans="2:80" ht="15" customHeight="1" x14ac:dyDescent="0.3">
      <c r="I60" s="2" t="s">
        <v>427</v>
      </c>
      <c r="J60" s="161"/>
      <c r="K60" s="28" t="s">
        <v>200</v>
      </c>
      <c r="P60" s="161"/>
      <c r="Q60" s="28" t="s">
        <v>188</v>
      </c>
      <c r="AE60" s="2" t="s">
        <v>193</v>
      </c>
      <c r="AF60" s="181"/>
      <c r="AG60" s="181"/>
      <c r="AH60" s="181"/>
      <c r="AI60" s="28" t="s">
        <v>40</v>
      </c>
      <c r="AK60" s="2"/>
      <c r="AL60" s="94">
        <f>IF(AND(ISBLANK(J60),ISBLANK(P60)),1,2)</f>
        <v>1</v>
      </c>
      <c r="AM60" s="94">
        <f>IF(ISBLANK(P60),1,2)</f>
        <v>1</v>
      </c>
      <c r="AN60" s="70"/>
      <c r="AO60" s="70"/>
      <c r="AP60" s="70"/>
      <c r="AQ60" s="70"/>
      <c r="AR60" s="70"/>
      <c r="AS60" s="70"/>
      <c r="AT60" s="70"/>
      <c r="AU60" s="2"/>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c r="CA60" s="26"/>
      <c r="CB60" s="27"/>
    </row>
    <row r="61" spans="2:80" ht="4.95" customHeight="1" x14ac:dyDescent="0.3">
      <c r="AK61" s="2"/>
      <c r="AN61" s="70"/>
      <c r="AO61" s="70"/>
      <c r="AP61" s="70"/>
      <c r="AQ61" s="70"/>
      <c r="AR61" s="70"/>
      <c r="AS61" s="70"/>
      <c r="AT61" s="70"/>
      <c r="AU61" s="2"/>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c r="CA61" s="26"/>
      <c r="CB61" s="27"/>
    </row>
    <row r="62" spans="2:80" ht="15" customHeight="1" x14ac:dyDescent="0.3">
      <c r="I62" s="2" t="s">
        <v>428</v>
      </c>
      <c r="J62" s="161"/>
      <c r="K62" s="28" t="s">
        <v>189</v>
      </c>
      <c r="M62" s="161"/>
      <c r="N62" s="28" t="s">
        <v>190</v>
      </c>
      <c r="P62" s="161"/>
      <c r="Q62" s="28" t="s">
        <v>191</v>
      </c>
      <c r="S62" s="161"/>
      <c r="T62" s="28" t="s">
        <v>192</v>
      </c>
      <c r="AE62" s="2" t="s">
        <v>195</v>
      </c>
      <c r="AF62" s="161"/>
      <c r="AG62" s="28" t="s">
        <v>115</v>
      </c>
      <c r="AH62" s="2"/>
      <c r="AI62" s="161"/>
      <c r="AJ62" s="28" t="s">
        <v>116</v>
      </c>
      <c r="AK62" s="2"/>
      <c r="AL62" s="94">
        <f>IF(AND(ISBLANK(J62),ISBLANK(M62),ISBLANK(P62),ISBLANK(S62)),1,2)</f>
        <v>1</v>
      </c>
      <c r="AM62" s="94">
        <f>IF(AND(ISBLANK(AF62),ISBLANK(AI62)),1,2)</f>
        <v>1</v>
      </c>
      <c r="AN62" s="70"/>
      <c r="AO62" s="70"/>
      <c r="AP62" s="70"/>
      <c r="AQ62" s="70"/>
      <c r="AR62" s="70"/>
      <c r="AS62" s="70"/>
      <c r="AT62" s="70"/>
      <c r="AU62" s="2"/>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c r="CA62" s="26"/>
      <c r="CB62" s="27"/>
    </row>
    <row r="63" spans="2:80" ht="4.95" customHeight="1" x14ac:dyDescent="0.3">
      <c r="AK63" s="2"/>
      <c r="AN63" s="70"/>
      <c r="AO63" s="70"/>
      <c r="AP63" s="70"/>
      <c r="AQ63" s="70"/>
      <c r="AR63" s="70"/>
      <c r="AS63" s="70"/>
      <c r="AT63" s="70"/>
      <c r="AU63" s="2"/>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c r="CA63" s="26"/>
      <c r="CB63" s="27"/>
    </row>
    <row r="64" spans="2:80" ht="15" customHeight="1" x14ac:dyDescent="0.3">
      <c r="B64" s="161"/>
      <c r="C64" s="80" t="s">
        <v>429</v>
      </c>
      <c r="AE64" s="2" t="s">
        <v>194</v>
      </c>
      <c r="AF64" s="181"/>
      <c r="AG64" s="181"/>
      <c r="AH64" s="181"/>
      <c r="AI64" s="28" t="s">
        <v>196</v>
      </c>
      <c r="AK64" s="2"/>
      <c r="AL64" s="93"/>
      <c r="AN64" s="70"/>
      <c r="AO64" s="70"/>
      <c r="AP64" s="70"/>
      <c r="AQ64" s="70"/>
      <c r="AR64" s="70"/>
      <c r="AS64" s="70"/>
      <c r="AT64" s="70"/>
      <c r="AU64" s="2"/>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c r="CA64" s="26"/>
      <c r="CB64" s="27"/>
    </row>
    <row r="65" spans="2:80" ht="4.95" customHeight="1" x14ac:dyDescent="0.3">
      <c r="AK65" s="2"/>
      <c r="AN65" s="70"/>
      <c r="AO65" s="70"/>
      <c r="AP65" s="70"/>
      <c r="AQ65" s="70"/>
      <c r="AR65" s="70"/>
      <c r="AS65" s="70"/>
      <c r="AT65" s="70"/>
      <c r="AU65" s="2"/>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c r="CA65" s="26"/>
      <c r="CB65" s="27"/>
    </row>
    <row r="66" spans="2:80" ht="15" customHeight="1" x14ac:dyDescent="0.3">
      <c r="I66" s="2" t="s">
        <v>157</v>
      </c>
      <c r="J66" s="206"/>
      <c r="K66" s="206"/>
      <c r="L66" s="206"/>
      <c r="M66" s="206"/>
      <c r="R66" s="2" t="s">
        <v>158</v>
      </c>
      <c r="S66" s="206"/>
      <c r="T66" s="206"/>
      <c r="U66" s="206"/>
      <c r="Y66" s="2" t="s">
        <v>159</v>
      </c>
      <c r="Z66" s="179"/>
      <c r="AA66" s="179"/>
      <c r="AB66" s="179"/>
      <c r="AC66" s="28" t="s">
        <v>40</v>
      </c>
      <c r="AF66" s="2" t="s">
        <v>198</v>
      </c>
      <c r="AG66" s="174"/>
      <c r="AH66" s="174"/>
      <c r="AI66" s="174"/>
      <c r="AJ66" s="28" t="s">
        <v>40</v>
      </c>
      <c r="AK66" s="2"/>
      <c r="AL66" s="94">
        <f>IF(ISBLANK(B64),1,2)</f>
        <v>1</v>
      </c>
      <c r="AN66" s="94">
        <f>IF(AND(ISBLANK(B64),ISBLANK(B73)),1,2)</f>
        <v>1</v>
      </c>
      <c r="AQ66" s="70"/>
      <c r="AR66" s="70"/>
      <c r="AS66" s="70"/>
      <c r="AT66" s="70"/>
      <c r="AU66" s="2"/>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c r="CA66" s="26"/>
      <c r="CB66" s="27"/>
    </row>
    <row r="67" spans="2:80" ht="15" customHeight="1" x14ac:dyDescent="0.3">
      <c r="I67" s="2" t="s">
        <v>206</v>
      </c>
      <c r="J67" s="176"/>
      <c r="K67" s="176"/>
      <c r="L67" s="176"/>
      <c r="M67" s="176"/>
      <c r="N67" s="28" t="s">
        <v>205</v>
      </c>
      <c r="R67" s="2" t="s">
        <v>156</v>
      </c>
      <c r="S67" s="175"/>
      <c r="T67" s="175"/>
      <c r="U67" s="175"/>
      <c r="V67" s="28" t="s">
        <v>39</v>
      </c>
      <c r="Y67" s="2" t="s">
        <v>541</v>
      </c>
      <c r="Z67" s="175"/>
      <c r="AA67" s="175"/>
      <c r="AB67" s="175"/>
      <c r="AC67" s="28" t="s">
        <v>40</v>
      </c>
      <c r="AF67" s="2" t="s">
        <v>542</v>
      </c>
      <c r="AG67" s="175"/>
      <c r="AH67" s="175"/>
      <c r="AI67" s="175"/>
      <c r="AJ67" s="28" t="s">
        <v>40</v>
      </c>
      <c r="AK67" s="2"/>
      <c r="AL67" s="94">
        <f>IF(ISBLANK(S67),1,2)</f>
        <v>1</v>
      </c>
      <c r="AM67" s="94">
        <f>IF(AND(ISBLANK(Z67),ISBLANK(AG67)),1,2)</f>
        <v>1</v>
      </c>
      <c r="AN67" s="70"/>
      <c r="AO67" s="70"/>
      <c r="AP67" s="70"/>
      <c r="AQ67" s="70"/>
      <c r="AR67" s="70"/>
      <c r="AS67" s="70"/>
      <c r="AT67" s="70"/>
      <c r="AU67" s="2"/>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c r="CA67" s="26"/>
      <c r="CB67" s="27"/>
    </row>
    <row r="68" spans="2:80" ht="4.95" customHeight="1" x14ac:dyDescent="0.3">
      <c r="K68" s="2"/>
      <c r="W68" s="2"/>
      <c r="AE68" s="2"/>
      <c r="AK68" s="2"/>
      <c r="AN68" s="70"/>
      <c r="AO68" s="70"/>
      <c r="AP68" s="70"/>
      <c r="AQ68" s="70"/>
      <c r="AR68" s="70"/>
      <c r="AS68" s="70"/>
      <c r="AT68" s="70"/>
      <c r="AU68" s="2"/>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c r="CA68" s="26"/>
      <c r="CB68" s="27"/>
    </row>
    <row r="69" spans="2:80" ht="15" customHeight="1" x14ac:dyDescent="0.3">
      <c r="C69" s="81" t="s">
        <v>309</v>
      </c>
      <c r="J69" s="161"/>
      <c r="K69" s="28" t="s">
        <v>295</v>
      </c>
      <c r="P69" s="2" t="s">
        <v>157</v>
      </c>
      <c r="Q69" s="206"/>
      <c r="R69" s="206"/>
      <c r="S69" s="206"/>
      <c r="T69" s="206"/>
      <c r="Y69" s="2" t="s">
        <v>156</v>
      </c>
      <c r="Z69" s="181"/>
      <c r="AA69" s="181"/>
      <c r="AB69" s="181"/>
      <c r="AC69" s="28" t="s">
        <v>39</v>
      </c>
      <c r="AK69" s="2"/>
      <c r="AL69" s="94">
        <f>IF(ISBLANK(J69),1,2)</f>
        <v>1</v>
      </c>
      <c r="AM69" s="94">
        <f>IF(ISBLANK(J69),1,2)</f>
        <v>1</v>
      </c>
      <c r="AN69" s="70"/>
      <c r="AO69" s="70"/>
      <c r="AP69" s="70"/>
      <c r="AQ69" s="70"/>
      <c r="AR69" s="70"/>
      <c r="AS69" s="70"/>
      <c r="AT69" s="70"/>
      <c r="AU69" s="2"/>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c r="CA69" s="26"/>
      <c r="CB69" s="27"/>
    </row>
    <row r="70" spans="2:80" ht="15" customHeight="1" x14ac:dyDescent="0.3">
      <c r="P70" s="2" t="s">
        <v>310</v>
      </c>
      <c r="Q70" s="217"/>
      <c r="R70" s="217"/>
      <c r="S70" s="217"/>
      <c r="T70" s="28" t="s">
        <v>219</v>
      </c>
      <c r="AK70" s="2"/>
      <c r="AL70" s="94">
        <f>IF(ISBLANK(Q70),1,2)</f>
        <v>1</v>
      </c>
      <c r="AM70" s="94">
        <f>IF(AND(ISBLANK(AF70),ISBLANK(AI70)),1,2)</f>
        <v>1</v>
      </c>
      <c r="AN70" s="70"/>
      <c r="AO70" s="70"/>
      <c r="AP70" s="70"/>
      <c r="AQ70" s="70"/>
      <c r="AR70" s="70"/>
      <c r="AS70" s="70"/>
      <c r="AT70" s="70"/>
      <c r="AU70" s="2"/>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c r="CA70" s="26"/>
      <c r="CB70" s="27"/>
    </row>
    <row r="71" spans="2:80" ht="15" customHeight="1" x14ac:dyDescent="0.3">
      <c r="C71" s="81" t="s">
        <v>221</v>
      </c>
      <c r="J71" s="161"/>
      <c r="K71" s="28" t="s">
        <v>295</v>
      </c>
      <c r="P71" s="2" t="s">
        <v>157</v>
      </c>
      <c r="Q71" s="206"/>
      <c r="R71" s="206"/>
      <c r="S71" s="206"/>
      <c r="T71" s="206"/>
      <c r="X71" s="2"/>
      <c r="Y71" s="2" t="s">
        <v>156</v>
      </c>
      <c r="Z71" s="181"/>
      <c r="AA71" s="181"/>
      <c r="AB71" s="181"/>
      <c r="AC71" s="28" t="s">
        <v>39</v>
      </c>
      <c r="AF71" s="2" t="s">
        <v>198</v>
      </c>
      <c r="AG71" s="181"/>
      <c r="AH71" s="181"/>
      <c r="AI71" s="181"/>
      <c r="AJ71" s="28" t="s">
        <v>40</v>
      </c>
      <c r="AL71" s="94">
        <f>IF(ISBLANK(J71),1,2)</f>
        <v>1</v>
      </c>
      <c r="AM71" s="94">
        <f>IF(ISBLANK(Z71),1,2)</f>
        <v>1</v>
      </c>
      <c r="AN71" s="70"/>
      <c r="AO71" s="70"/>
      <c r="AP71" s="70"/>
      <c r="AQ71" s="70"/>
      <c r="AR71" s="70"/>
      <c r="AS71" s="70"/>
      <c r="AT71" s="70"/>
      <c r="AU71" s="2"/>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c r="CA71" s="26"/>
      <c r="CB71" s="27"/>
    </row>
    <row r="72" spans="2:80" ht="15" customHeight="1" x14ac:dyDescent="0.3">
      <c r="AN72" s="70"/>
      <c r="AO72" s="70"/>
      <c r="AP72" s="70"/>
      <c r="AQ72" s="70"/>
      <c r="AR72" s="70"/>
      <c r="AS72" s="70"/>
      <c r="AT72" s="70"/>
      <c r="AU72" s="2"/>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c r="CA72" s="26"/>
      <c r="CB72" s="27"/>
    </row>
    <row r="73" spans="2:80" ht="15" customHeight="1" x14ac:dyDescent="0.3">
      <c r="B73" s="161"/>
      <c r="C73" s="80" t="s">
        <v>199</v>
      </c>
      <c r="K73" s="161"/>
      <c r="L73" s="28" t="s">
        <v>201</v>
      </c>
      <c r="O73" s="161"/>
      <c r="P73" s="28" t="s">
        <v>202</v>
      </c>
      <c r="T73" s="161"/>
      <c r="U73" s="28" t="s">
        <v>307</v>
      </c>
      <c r="Y73" s="161"/>
      <c r="Z73" s="28" t="s">
        <v>308</v>
      </c>
      <c r="AK73" s="2"/>
      <c r="AL73" s="94">
        <f>IF(ISBLANK(B73),1,2)</f>
        <v>1</v>
      </c>
      <c r="AM73" s="94">
        <f>IF(AND(ISBLANK(K73),ISBLANK(O73),ISBLANK(T73),ISBLANK(Y73),ISBLANK(Y75)),1,2)</f>
        <v>1</v>
      </c>
      <c r="AN73" s="70"/>
      <c r="AO73" s="70"/>
      <c r="AP73" s="70"/>
      <c r="AQ73" s="70"/>
      <c r="AR73" s="70"/>
      <c r="AS73" s="70"/>
      <c r="AT73" s="70"/>
      <c r="AU73" s="2"/>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c r="CA73" s="26"/>
      <c r="CB73" s="27"/>
    </row>
    <row r="74" spans="2:80" ht="4.95" customHeight="1" x14ac:dyDescent="0.3">
      <c r="K74" s="2"/>
      <c r="O74" s="2"/>
      <c r="W74" s="2"/>
      <c r="AE74" s="2"/>
      <c r="AK74" s="2"/>
      <c r="AN74" s="70"/>
      <c r="AO74" s="70"/>
      <c r="AP74" s="70"/>
      <c r="AQ74" s="70"/>
      <c r="AR74" s="70"/>
      <c r="AS74" s="70"/>
      <c r="AT74" s="70"/>
      <c r="AU74" s="2"/>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c r="CA74" s="26"/>
      <c r="CB74" s="27"/>
    </row>
    <row r="75" spans="2:80" ht="15" customHeight="1" x14ac:dyDescent="0.3">
      <c r="K75" s="2"/>
      <c r="O75" s="2"/>
      <c r="Y75" s="161"/>
      <c r="Z75" s="28" t="s">
        <v>203</v>
      </c>
      <c r="AB75" s="2"/>
      <c r="AC75" s="206"/>
      <c r="AD75" s="206"/>
      <c r="AE75" s="206"/>
      <c r="AF75" s="206"/>
      <c r="AG75" s="206"/>
      <c r="AH75" s="206"/>
      <c r="AI75" s="206"/>
      <c r="AJ75" s="206"/>
      <c r="AK75" s="2"/>
      <c r="AN75" s="94">
        <f>IF(ISBLANK(Y75),1,2)</f>
        <v>1</v>
      </c>
      <c r="AO75" s="70"/>
      <c r="AP75" s="70"/>
      <c r="AQ75" s="70"/>
      <c r="AR75" s="70"/>
      <c r="AS75" s="70"/>
      <c r="AT75" s="70"/>
      <c r="AU75" s="2"/>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c r="CA75" s="26"/>
      <c r="CB75" s="27"/>
    </row>
    <row r="76" spans="2:80" ht="4.95" customHeight="1" x14ac:dyDescent="0.3">
      <c r="K76" s="2"/>
      <c r="O76" s="2"/>
      <c r="W76" s="2"/>
      <c r="AE76" s="2"/>
      <c r="AK76" s="2"/>
      <c r="AN76" s="70"/>
      <c r="AO76" s="70"/>
      <c r="AP76" s="70"/>
      <c r="AQ76" s="70"/>
      <c r="AR76" s="70"/>
      <c r="AS76" s="70"/>
      <c r="AT76" s="70"/>
      <c r="AU76" s="2"/>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c r="CA76" s="26"/>
      <c r="CB76" s="27"/>
    </row>
    <row r="77" spans="2:80" ht="15" customHeight="1" x14ac:dyDescent="0.3">
      <c r="C77" s="81" t="s">
        <v>225</v>
      </c>
      <c r="J77" s="2" t="s">
        <v>204</v>
      </c>
      <c r="K77" s="206"/>
      <c r="L77" s="206"/>
      <c r="M77" s="206"/>
      <c r="N77" s="206"/>
      <c r="O77" s="206"/>
      <c r="R77" s="2" t="s">
        <v>542</v>
      </c>
      <c r="S77" s="181"/>
      <c r="T77" s="181"/>
      <c r="U77" s="181"/>
      <c r="V77" s="12" t="s">
        <v>39</v>
      </c>
      <c r="Y77" s="2" t="s">
        <v>541</v>
      </c>
      <c r="Z77" s="181"/>
      <c r="AA77" s="181"/>
      <c r="AB77" s="181"/>
      <c r="AC77" s="12" t="s">
        <v>39</v>
      </c>
      <c r="AE77" s="2"/>
      <c r="AF77" s="2" t="s">
        <v>159</v>
      </c>
      <c r="AG77" s="174"/>
      <c r="AH77" s="174"/>
      <c r="AI77" s="174"/>
      <c r="AJ77" s="28" t="s">
        <v>40</v>
      </c>
      <c r="AK77" s="2"/>
      <c r="AN77" s="70"/>
      <c r="AO77" s="70"/>
      <c r="AP77" s="70"/>
      <c r="AQ77" s="70"/>
      <c r="AR77" s="70"/>
      <c r="AS77" s="70"/>
      <c r="AT77" s="70"/>
      <c r="AU77" s="2"/>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c r="CA77" s="26"/>
      <c r="CB77" s="27"/>
    </row>
    <row r="78" spans="2:80" ht="4.95" customHeight="1" x14ac:dyDescent="0.3">
      <c r="J78" s="2"/>
      <c r="K78" s="79"/>
      <c r="W78" s="2"/>
      <c r="X78" s="2"/>
      <c r="Y78" s="2"/>
      <c r="AE78" s="2"/>
      <c r="AK78" s="2"/>
      <c r="AN78" s="70"/>
      <c r="AO78" s="70"/>
      <c r="AP78" s="70"/>
      <c r="AQ78" s="70"/>
      <c r="AR78" s="70"/>
      <c r="AS78" s="70"/>
      <c r="AT78" s="70"/>
      <c r="AU78" s="2"/>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c r="CA78" s="26"/>
      <c r="CB78" s="27"/>
    </row>
    <row r="79" spans="2:80" ht="15" customHeight="1" x14ac:dyDescent="0.3">
      <c r="G79" s="2" t="s">
        <v>207</v>
      </c>
      <c r="H79" s="161"/>
      <c r="I79" s="28" t="s">
        <v>115</v>
      </c>
      <c r="J79" s="2"/>
      <c r="K79" s="161"/>
      <c r="L79" s="28" t="s">
        <v>116</v>
      </c>
      <c r="O79" s="2" t="s">
        <v>204</v>
      </c>
      <c r="P79" s="206"/>
      <c r="Q79" s="206"/>
      <c r="R79" s="206"/>
      <c r="S79" s="206"/>
      <c r="T79" s="206"/>
      <c r="W79" s="2"/>
      <c r="X79" s="2"/>
      <c r="Y79" s="2"/>
      <c r="AK79" s="2"/>
      <c r="AL79" s="94">
        <f>IF(AND(ISBLANK(H79),ISBLANK(K79)),1,2)</f>
        <v>1</v>
      </c>
      <c r="AM79" s="94">
        <f>IF(ISBLANK(H79),1,2)</f>
        <v>1</v>
      </c>
      <c r="AN79" s="70"/>
      <c r="AO79" s="70"/>
      <c r="AP79" s="70"/>
      <c r="AQ79" s="70"/>
      <c r="AR79" s="70"/>
      <c r="AS79" s="70"/>
      <c r="AT79" s="70"/>
      <c r="AU79" s="2"/>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c r="CA79" s="26"/>
      <c r="CB79" s="27"/>
    </row>
    <row r="80" spans="2:80" ht="4.95" customHeight="1" x14ac:dyDescent="0.3">
      <c r="G80" s="2"/>
      <c r="H80" s="2"/>
      <c r="I80" s="2"/>
      <c r="J80" s="2"/>
      <c r="K80" s="2"/>
      <c r="L80" s="2"/>
      <c r="W80" s="2"/>
      <c r="X80" s="2"/>
      <c r="Y80" s="2"/>
      <c r="AK80" s="2"/>
      <c r="AN80" s="70"/>
      <c r="AO80" s="70"/>
      <c r="AP80" s="70"/>
      <c r="AQ80" s="70"/>
      <c r="AR80" s="70"/>
      <c r="AS80" s="70"/>
      <c r="AT80" s="70"/>
      <c r="AU80" s="2"/>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c r="CA80" s="26"/>
      <c r="CB80" s="27"/>
    </row>
    <row r="81" spans="3:80" ht="15" customHeight="1" x14ac:dyDescent="0.3">
      <c r="G81" s="2" t="s">
        <v>208</v>
      </c>
      <c r="H81" s="161"/>
      <c r="I81" s="28" t="s">
        <v>115</v>
      </c>
      <c r="K81" s="161"/>
      <c r="L81" s="28" t="s">
        <v>116</v>
      </c>
      <c r="O81" s="2" t="s">
        <v>204</v>
      </c>
      <c r="P81" s="206"/>
      <c r="Q81" s="206"/>
      <c r="R81" s="206"/>
      <c r="S81" s="206"/>
      <c r="T81" s="206"/>
      <c r="W81" s="2"/>
      <c r="X81" s="2"/>
      <c r="Y81" s="2"/>
      <c r="AK81" s="2"/>
      <c r="AL81" s="94">
        <f>IF(AND(ISBLANK(H81),ISBLANK(K81)),1,2)</f>
        <v>1</v>
      </c>
      <c r="AM81" s="94">
        <f>IF(ISBLANK(H81),1,2)</f>
        <v>1</v>
      </c>
      <c r="AN81" s="70"/>
      <c r="AO81" s="70"/>
      <c r="AP81" s="70"/>
      <c r="AQ81" s="70"/>
      <c r="AR81" s="70"/>
      <c r="AS81" s="70"/>
      <c r="AT81" s="70"/>
      <c r="AU81" s="2"/>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c r="CA81" s="26"/>
      <c r="CB81" s="27"/>
    </row>
    <row r="82" spans="3:80" ht="4.95" customHeight="1" x14ac:dyDescent="0.3">
      <c r="AN82" s="70"/>
      <c r="AO82" s="70"/>
      <c r="AP82" s="70"/>
      <c r="AQ82" s="70"/>
      <c r="AR82" s="70"/>
      <c r="AS82" s="70"/>
      <c r="AT82" s="70"/>
      <c r="AU82" s="2"/>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7"/>
    </row>
    <row r="83" spans="3:80" ht="15" customHeight="1" x14ac:dyDescent="0.3">
      <c r="C83" s="81" t="s">
        <v>224</v>
      </c>
      <c r="N83" s="4" t="s">
        <v>214</v>
      </c>
      <c r="R83" s="178" t="s">
        <v>215</v>
      </c>
      <c r="S83" s="178"/>
      <c r="T83" s="178"/>
      <c r="W83" s="178" t="s">
        <v>216</v>
      </c>
      <c r="X83" s="178"/>
      <c r="Y83" s="178"/>
      <c r="AN83" s="70"/>
      <c r="AO83" s="70"/>
      <c r="AP83" s="70"/>
      <c r="AQ83" s="70"/>
      <c r="AR83" s="70"/>
      <c r="AS83" s="70"/>
      <c r="AT83" s="70"/>
      <c r="AU83" s="2"/>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7"/>
    </row>
    <row r="84" spans="3:80" ht="15" customHeight="1" x14ac:dyDescent="0.3">
      <c r="L84" s="2" t="s">
        <v>209</v>
      </c>
      <c r="M84" s="181"/>
      <c r="N84" s="181"/>
      <c r="O84" s="181"/>
      <c r="P84" s="28" t="s">
        <v>39</v>
      </c>
      <c r="R84" s="181"/>
      <c r="S84" s="181"/>
      <c r="T84" s="181"/>
      <c r="U84" s="28" t="s">
        <v>40</v>
      </c>
      <c r="W84" s="181"/>
      <c r="X84" s="181"/>
      <c r="Y84" s="181"/>
      <c r="Z84" s="28" t="s">
        <v>40</v>
      </c>
      <c r="AN84" s="70"/>
      <c r="AO84" s="70"/>
      <c r="AP84" s="70"/>
      <c r="AQ84" s="70"/>
      <c r="AR84" s="70"/>
      <c r="AS84" s="70"/>
      <c r="AT84" s="70"/>
      <c r="AU84" s="2"/>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c r="CA84" s="26"/>
      <c r="CB84" s="27"/>
    </row>
    <row r="85" spans="3:80" ht="15" customHeight="1" x14ac:dyDescent="0.3">
      <c r="L85" s="2" t="s">
        <v>210</v>
      </c>
      <c r="M85" s="180"/>
      <c r="N85" s="180"/>
      <c r="O85" s="180"/>
      <c r="P85" s="28" t="s">
        <v>39</v>
      </c>
      <c r="R85" s="180"/>
      <c r="S85" s="180"/>
      <c r="T85" s="180"/>
      <c r="U85" s="28" t="s">
        <v>40</v>
      </c>
      <c r="W85" s="180"/>
      <c r="X85" s="180"/>
      <c r="Y85" s="180"/>
      <c r="Z85" s="28" t="s">
        <v>40</v>
      </c>
      <c r="AN85" s="70"/>
      <c r="AO85" s="70"/>
      <c r="AP85" s="70"/>
      <c r="AQ85" s="70"/>
      <c r="AR85" s="70"/>
      <c r="AS85" s="70"/>
      <c r="AT85" s="70"/>
      <c r="AU85" s="2"/>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c r="CA85" s="26"/>
      <c r="CB85" s="27"/>
    </row>
    <row r="86" spans="3:80" ht="15" customHeight="1" x14ac:dyDescent="0.3">
      <c r="L86" s="2" t="s">
        <v>211</v>
      </c>
      <c r="M86" s="180"/>
      <c r="N86" s="180"/>
      <c r="O86" s="180"/>
      <c r="P86" s="28" t="s">
        <v>39</v>
      </c>
      <c r="R86" s="180"/>
      <c r="S86" s="180"/>
      <c r="T86" s="180"/>
      <c r="U86" s="28" t="s">
        <v>40</v>
      </c>
      <c r="W86" s="180"/>
      <c r="X86" s="180"/>
      <c r="Y86" s="180"/>
      <c r="Z86" s="28" t="s">
        <v>40</v>
      </c>
      <c r="AN86" s="70"/>
      <c r="AO86" s="70"/>
      <c r="AP86" s="70"/>
      <c r="AQ86" s="70"/>
      <c r="AR86" s="70"/>
      <c r="AS86" s="70"/>
      <c r="AT86" s="70"/>
      <c r="AU86" s="2"/>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c r="CA86" s="26"/>
      <c r="CB86" s="27"/>
    </row>
    <row r="87" spans="3:80" ht="15" customHeight="1" x14ac:dyDescent="0.3">
      <c r="L87" s="2" t="s">
        <v>212</v>
      </c>
      <c r="M87" s="180"/>
      <c r="N87" s="180"/>
      <c r="O87" s="180"/>
      <c r="P87" s="28" t="s">
        <v>39</v>
      </c>
      <c r="R87" s="180"/>
      <c r="S87" s="180"/>
      <c r="T87" s="180"/>
      <c r="U87" s="28" t="s">
        <v>40</v>
      </c>
      <c r="W87" s="180"/>
      <c r="X87" s="180"/>
      <c r="Y87" s="180"/>
      <c r="Z87" s="28" t="s">
        <v>40</v>
      </c>
      <c r="AN87" s="70"/>
      <c r="AO87" s="70"/>
      <c r="AP87" s="70"/>
      <c r="AQ87" s="70"/>
      <c r="AR87" s="70"/>
      <c r="AS87" s="70"/>
      <c r="AT87" s="70"/>
      <c r="AU87" s="2"/>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c r="CA87" s="26"/>
      <c r="CB87" s="27"/>
    </row>
    <row r="88" spans="3:80" ht="15" customHeight="1" x14ac:dyDescent="0.3">
      <c r="L88" s="2" t="s">
        <v>213</v>
      </c>
      <c r="M88" s="180"/>
      <c r="N88" s="180"/>
      <c r="O88" s="180"/>
      <c r="P88" s="28" t="s">
        <v>39</v>
      </c>
      <c r="R88" s="180"/>
      <c r="S88" s="180"/>
      <c r="T88" s="180"/>
      <c r="U88" s="28" t="s">
        <v>40</v>
      </c>
      <c r="W88" s="180"/>
      <c r="X88" s="180"/>
      <c r="Y88" s="180"/>
      <c r="Z88" s="28" t="s">
        <v>40</v>
      </c>
      <c r="AN88" s="70"/>
      <c r="AO88" s="70"/>
      <c r="AP88" s="70"/>
      <c r="AQ88" s="70"/>
      <c r="AR88" s="70"/>
      <c r="AS88" s="70"/>
      <c r="AT88" s="70"/>
      <c r="AU88" s="2"/>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c r="CA88" s="26"/>
      <c r="CB88" s="27"/>
    </row>
    <row r="89" spans="3:80" ht="4.95" customHeight="1" x14ac:dyDescent="0.3">
      <c r="AN89" s="70"/>
      <c r="AO89" s="70"/>
      <c r="AP89" s="70"/>
      <c r="AQ89" s="70"/>
      <c r="AR89" s="70"/>
      <c r="AS89" s="70"/>
      <c r="AT89" s="70"/>
      <c r="AU89" s="2"/>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c r="CA89" s="26"/>
      <c r="CB89" s="27"/>
    </row>
    <row r="90" spans="3:80" ht="15" customHeight="1" x14ac:dyDescent="0.3">
      <c r="C90" s="81" t="s">
        <v>223</v>
      </c>
      <c r="M90" s="178" t="s">
        <v>218</v>
      </c>
      <c r="N90" s="178"/>
      <c r="O90" s="178"/>
      <c r="Q90" s="178" t="s">
        <v>312</v>
      </c>
      <c r="R90" s="178"/>
      <c r="S90" s="178"/>
      <c r="T90" s="178"/>
      <c r="U90" s="178"/>
      <c r="V90" s="178" t="s">
        <v>311</v>
      </c>
      <c r="W90" s="178"/>
      <c r="X90" s="178"/>
      <c r="Y90" s="178"/>
      <c r="Z90" s="178"/>
      <c r="AB90" s="178" t="s">
        <v>38</v>
      </c>
      <c r="AC90" s="178"/>
      <c r="AD90" s="178"/>
      <c r="AN90" s="70"/>
      <c r="AO90" s="70"/>
      <c r="AP90" s="70"/>
      <c r="AQ90" s="70"/>
      <c r="AR90" s="70"/>
      <c r="AS90" s="70"/>
      <c r="AT90" s="70"/>
      <c r="AU90" s="2"/>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c r="CA90" s="26"/>
      <c r="CB90" s="27"/>
    </row>
    <row r="91" spans="3:80" ht="15" customHeight="1" x14ac:dyDescent="0.3">
      <c r="L91" s="2" t="s">
        <v>313</v>
      </c>
      <c r="M91" s="219"/>
      <c r="N91" s="219"/>
      <c r="O91" s="219"/>
      <c r="P91" s="28" t="s">
        <v>219</v>
      </c>
      <c r="R91" s="179"/>
      <c r="S91" s="179"/>
      <c r="T91" s="179"/>
      <c r="U91" s="28" t="s">
        <v>40</v>
      </c>
      <c r="W91" s="179"/>
      <c r="X91" s="179"/>
      <c r="Y91" s="179"/>
      <c r="Z91" s="28" t="s">
        <v>205</v>
      </c>
      <c r="AB91" s="181"/>
      <c r="AC91" s="181"/>
      <c r="AD91" s="181"/>
      <c r="AE91" s="28" t="s">
        <v>40</v>
      </c>
      <c r="AN91" s="70"/>
      <c r="AO91" s="70"/>
      <c r="AP91" s="70"/>
      <c r="AQ91" s="70"/>
      <c r="AR91" s="70"/>
      <c r="AS91" s="70"/>
      <c r="AT91" s="70"/>
      <c r="AU91" s="2"/>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c r="CA91" s="26"/>
      <c r="CB91" s="27"/>
    </row>
    <row r="92" spans="3:80" ht="15" customHeight="1" x14ac:dyDescent="0.3">
      <c r="L92" s="2" t="s">
        <v>314</v>
      </c>
      <c r="M92" s="223"/>
      <c r="N92" s="223"/>
      <c r="O92" s="223"/>
      <c r="P92" s="28" t="s">
        <v>219</v>
      </c>
      <c r="R92" s="176"/>
      <c r="S92" s="176"/>
      <c r="T92" s="176"/>
      <c r="U92" s="28" t="s">
        <v>40</v>
      </c>
      <c r="W92" s="176"/>
      <c r="X92" s="176"/>
      <c r="Y92" s="176"/>
      <c r="Z92" s="28" t="s">
        <v>205</v>
      </c>
      <c r="AB92" s="180"/>
      <c r="AC92" s="180"/>
      <c r="AD92" s="180"/>
      <c r="AE92" s="28" t="s">
        <v>40</v>
      </c>
      <c r="AN92" s="70"/>
      <c r="AO92" s="70"/>
      <c r="AP92" s="70"/>
      <c r="AQ92" s="70"/>
      <c r="AR92" s="70"/>
      <c r="AS92" s="70"/>
      <c r="AT92" s="70"/>
      <c r="AU92" s="2"/>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c r="CA92" s="26"/>
      <c r="CB92" s="27"/>
    </row>
    <row r="93" spans="3:80" ht="15" customHeight="1" x14ac:dyDescent="0.3">
      <c r="V93" s="2" t="s">
        <v>317</v>
      </c>
      <c r="W93" s="176"/>
      <c r="X93" s="176"/>
      <c r="Y93" s="176"/>
      <c r="Z93" s="28" t="s">
        <v>205</v>
      </c>
      <c r="AN93" s="70"/>
      <c r="AO93" s="70"/>
      <c r="AP93" s="70"/>
      <c r="AQ93" s="70"/>
      <c r="AR93" s="70"/>
      <c r="AS93" s="70"/>
      <c r="AT93" s="70"/>
      <c r="AU93" s="2"/>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c r="CA93" s="26"/>
      <c r="CB93" s="27"/>
    </row>
    <row r="94" spans="3:80" ht="15" customHeight="1" x14ac:dyDescent="0.3">
      <c r="V94" s="2" t="s">
        <v>315</v>
      </c>
      <c r="W94" s="222">
        <f>SUM(W91:Y93)</f>
        <v>0</v>
      </c>
      <c r="X94" s="222"/>
      <c r="Y94" s="222"/>
      <c r="Z94" s="28" t="s">
        <v>205</v>
      </c>
      <c r="AN94" s="70"/>
      <c r="AO94" s="70"/>
      <c r="AP94" s="70"/>
      <c r="AQ94" s="70"/>
      <c r="AR94" s="70"/>
      <c r="AS94" s="70"/>
      <c r="AT94" s="70"/>
      <c r="AU94" s="2"/>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c r="CA94" s="26"/>
      <c r="CB94" s="27"/>
    </row>
    <row r="95" spans="3:80" ht="15" customHeight="1" x14ac:dyDescent="0.3">
      <c r="N95" s="2" t="s">
        <v>355</v>
      </c>
      <c r="O95" s="217"/>
      <c r="P95" s="217"/>
      <c r="Q95" s="217"/>
      <c r="R95" s="28" t="s">
        <v>219</v>
      </c>
      <c r="AN95" s="70"/>
      <c r="AO95" s="70"/>
      <c r="AP95" s="70"/>
      <c r="AQ95" s="70"/>
      <c r="AR95" s="70"/>
      <c r="AS95" s="70"/>
      <c r="AT95" s="70"/>
      <c r="AU95" s="2"/>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c r="CA95" s="26"/>
      <c r="CB95" s="27"/>
    </row>
    <row r="96" spans="3:80" ht="15" customHeight="1" x14ac:dyDescent="0.3">
      <c r="K96" s="178" t="s">
        <v>356</v>
      </c>
      <c r="L96" s="178"/>
      <c r="M96" s="178"/>
      <c r="P96" s="4" t="s">
        <v>357</v>
      </c>
      <c r="U96" s="4" t="s">
        <v>220</v>
      </c>
      <c r="Z96" s="4" t="s">
        <v>38</v>
      </c>
      <c r="AE96" s="4" t="s">
        <v>216</v>
      </c>
      <c r="AN96" s="70"/>
      <c r="AO96" s="70"/>
      <c r="AP96" s="70"/>
      <c r="AQ96" s="70"/>
      <c r="AR96" s="70"/>
      <c r="AS96" s="70"/>
      <c r="AT96" s="70"/>
      <c r="AU96" s="2"/>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7"/>
    </row>
    <row r="97" spans="2:80" ht="15" customHeight="1" x14ac:dyDescent="0.3">
      <c r="J97" s="2" t="s">
        <v>217</v>
      </c>
      <c r="K97" s="209"/>
      <c r="L97" s="209"/>
      <c r="M97" s="209"/>
      <c r="O97" s="181"/>
      <c r="P97" s="181"/>
      <c r="Q97" s="181"/>
      <c r="R97" s="28" t="s">
        <v>39</v>
      </c>
      <c r="T97" s="181"/>
      <c r="U97" s="181"/>
      <c r="V97" s="181"/>
      <c r="W97" s="28" t="s">
        <v>40</v>
      </c>
      <c r="Y97" s="181"/>
      <c r="Z97" s="181"/>
      <c r="AA97" s="181"/>
      <c r="AB97" s="28" t="s">
        <v>40</v>
      </c>
      <c r="AD97" s="181"/>
      <c r="AE97" s="181"/>
      <c r="AF97" s="181"/>
      <c r="AG97" s="28" t="s">
        <v>40</v>
      </c>
      <c r="AL97" s="94">
        <v>1</v>
      </c>
      <c r="AM97" s="94">
        <f>IF(AL97&lt;=$O$95,2,1)</f>
        <v>1</v>
      </c>
      <c r="AN97" s="94">
        <f>IF(ISBLANK(K97),1,2)</f>
        <v>1</v>
      </c>
      <c r="AO97" s="70"/>
      <c r="AP97" s="70"/>
      <c r="AQ97" s="70"/>
      <c r="AR97" s="70"/>
      <c r="AS97" s="70"/>
      <c r="AT97" s="70"/>
      <c r="AU97" s="2"/>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c r="CA97" s="26"/>
      <c r="CB97" s="27"/>
    </row>
    <row r="98" spans="2:80" ht="4.95" customHeight="1" x14ac:dyDescent="0.3">
      <c r="AL98" s="70"/>
      <c r="AM98" s="70"/>
      <c r="AN98" s="70"/>
      <c r="AO98" s="70"/>
      <c r="AP98" s="70"/>
      <c r="AQ98" s="70"/>
      <c r="AR98" s="70"/>
      <c r="AS98" s="70"/>
      <c r="AT98" s="70"/>
      <c r="AU98" s="2"/>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c r="CA98" s="26"/>
      <c r="CB98" s="27"/>
    </row>
    <row r="99" spans="2:80" ht="15" customHeight="1" x14ac:dyDescent="0.3">
      <c r="J99" s="2" t="s">
        <v>358</v>
      </c>
      <c r="K99" s="161"/>
      <c r="L99" s="28" t="s">
        <v>115</v>
      </c>
      <c r="N99" s="161"/>
      <c r="O99" s="28" t="s">
        <v>116</v>
      </c>
      <c r="T99" s="217"/>
      <c r="U99" s="217"/>
      <c r="V99" s="217"/>
      <c r="W99" s="28" t="s">
        <v>39</v>
      </c>
      <c r="Y99" s="181"/>
      <c r="Z99" s="181"/>
      <c r="AA99" s="181"/>
      <c r="AB99" s="28" t="s">
        <v>40</v>
      </c>
      <c r="AL99" s="94">
        <f>IF(AND(ISBLANK(K99),ISBLANK(N99)),1,2)</f>
        <v>1</v>
      </c>
      <c r="AM99" s="94">
        <f>IF(ISBLANK(K99),1,2)</f>
        <v>1</v>
      </c>
      <c r="AN99" s="94"/>
      <c r="AO99" s="70"/>
      <c r="AP99" s="70"/>
      <c r="AQ99" s="70"/>
      <c r="AR99" s="70"/>
      <c r="AS99" s="70"/>
      <c r="AT99" s="70"/>
      <c r="AU99" s="2"/>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c r="CA99" s="26"/>
      <c r="CB99" s="27"/>
    </row>
    <row r="100" spans="2:80" ht="4.95" customHeight="1" x14ac:dyDescent="0.3">
      <c r="AL100" s="70"/>
      <c r="AM100" s="70"/>
      <c r="AN100" s="70"/>
      <c r="AO100" s="70"/>
      <c r="AP100" s="70"/>
      <c r="AQ100" s="70"/>
      <c r="AR100" s="70"/>
      <c r="AS100" s="70"/>
      <c r="AT100" s="70"/>
      <c r="AU100" s="2"/>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c r="CA100" s="26"/>
      <c r="CB100" s="27"/>
    </row>
    <row r="101" spans="2:80" ht="15" customHeight="1" x14ac:dyDescent="0.3">
      <c r="J101" s="2" t="s">
        <v>217</v>
      </c>
      <c r="K101" s="209"/>
      <c r="L101" s="209"/>
      <c r="M101" s="209"/>
      <c r="O101" s="181"/>
      <c r="P101" s="181"/>
      <c r="Q101" s="181"/>
      <c r="R101" s="28" t="s">
        <v>39</v>
      </c>
      <c r="T101" s="181"/>
      <c r="U101" s="181"/>
      <c r="V101" s="181"/>
      <c r="W101" s="28" t="s">
        <v>40</v>
      </c>
      <c r="Y101" s="181"/>
      <c r="Z101" s="181"/>
      <c r="AA101" s="181"/>
      <c r="AB101" s="28" t="s">
        <v>40</v>
      </c>
      <c r="AD101" s="181"/>
      <c r="AE101" s="181"/>
      <c r="AF101" s="181"/>
      <c r="AG101" s="28" t="s">
        <v>40</v>
      </c>
      <c r="AL101" s="94">
        <v>2</v>
      </c>
      <c r="AM101" s="94">
        <f>IF(AL101&lt;=$O$95,2,1)</f>
        <v>1</v>
      </c>
      <c r="AN101" s="94">
        <f>IF(ISBLANK(K101),1,2)</f>
        <v>1</v>
      </c>
      <c r="AO101" s="70"/>
      <c r="AP101" s="70"/>
      <c r="AQ101" s="70"/>
      <c r="AR101" s="70"/>
      <c r="AS101" s="70"/>
      <c r="AT101" s="70"/>
      <c r="AU101" s="2"/>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c r="CA101" s="26"/>
      <c r="CB101" s="27"/>
    </row>
    <row r="102" spans="2:80" ht="4.95" customHeight="1" x14ac:dyDescent="0.3">
      <c r="AL102" s="70"/>
      <c r="AM102" s="70"/>
      <c r="AN102" s="70"/>
      <c r="AO102" s="70"/>
      <c r="AP102" s="70"/>
      <c r="AQ102" s="70"/>
      <c r="AR102" s="70"/>
      <c r="AS102" s="70"/>
      <c r="AT102" s="70"/>
      <c r="AU102" s="2"/>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6"/>
      <c r="CB102" s="27"/>
    </row>
    <row r="103" spans="2:80" ht="15" customHeight="1" x14ac:dyDescent="0.3">
      <c r="J103" s="2" t="s">
        <v>358</v>
      </c>
      <c r="K103" s="161"/>
      <c r="L103" s="28" t="s">
        <v>115</v>
      </c>
      <c r="N103" s="161"/>
      <c r="O103" s="28" t="s">
        <v>116</v>
      </c>
      <c r="T103" s="217"/>
      <c r="U103" s="217"/>
      <c r="V103" s="217"/>
      <c r="W103" s="28" t="s">
        <v>39</v>
      </c>
      <c r="Y103" s="181"/>
      <c r="Z103" s="181"/>
      <c r="AA103" s="181"/>
      <c r="AB103" s="28" t="s">
        <v>40</v>
      </c>
      <c r="AL103" s="94">
        <f>IF(AND(ISBLANK(K103),ISBLANK(N103)),1,2)</f>
        <v>1</v>
      </c>
      <c r="AM103" s="94">
        <f>IF(ISBLANK(K103),1,2)</f>
        <v>1</v>
      </c>
      <c r="AN103" s="94"/>
      <c r="AO103" s="70"/>
      <c r="AP103" s="70"/>
      <c r="AQ103" s="70"/>
      <c r="AR103" s="70"/>
      <c r="AS103" s="70"/>
      <c r="AT103" s="70"/>
      <c r="AU103" s="2"/>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c r="CA103" s="26"/>
      <c r="CB103" s="27"/>
    </row>
    <row r="104" spans="2:80" ht="4.95" customHeight="1" x14ac:dyDescent="0.3">
      <c r="AL104" s="70"/>
      <c r="AM104" s="70"/>
      <c r="AN104" s="70"/>
      <c r="AO104" s="70"/>
      <c r="AP104" s="70"/>
      <c r="AQ104" s="70"/>
      <c r="AR104" s="70"/>
      <c r="AS104" s="70"/>
      <c r="AT104" s="70"/>
      <c r="AU104" s="2"/>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c r="CA104" s="26"/>
      <c r="CB104" s="27"/>
    </row>
    <row r="105" spans="2:80" ht="15" customHeight="1" x14ac:dyDescent="0.3">
      <c r="J105" s="2" t="s">
        <v>217</v>
      </c>
      <c r="K105" s="209"/>
      <c r="L105" s="209"/>
      <c r="M105" s="209"/>
      <c r="O105" s="181"/>
      <c r="P105" s="181"/>
      <c r="Q105" s="181"/>
      <c r="R105" s="28" t="s">
        <v>39</v>
      </c>
      <c r="T105" s="181"/>
      <c r="U105" s="181"/>
      <c r="V105" s="181"/>
      <c r="W105" s="28" t="s">
        <v>40</v>
      </c>
      <c r="Y105" s="181"/>
      <c r="Z105" s="181"/>
      <c r="AA105" s="181"/>
      <c r="AB105" s="28" t="s">
        <v>40</v>
      </c>
      <c r="AD105" s="181"/>
      <c r="AE105" s="181"/>
      <c r="AF105" s="181"/>
      <c r="AG105" s="28" t="s">
        <v>40</v>
      </c>
      <c r="AL105" s="94">
        <v>3</v>
      </c>
      <c r="AM105" s="94">
        <f>IF(AL105&lt;=$O$95,2,1)</f>
        <v>1</v>
      </c>
      <c r="AN105" s="94">
        <f>IF(ISBLANK(K105),1,2)</f>
        <v>1</v>
      </c>
      <c r="AO105" s="70"/>
      <c r="AP105" s="70"/>
      <c r="AQ105" s="70"/>
      <c r="AR105" s="70"/>
      <c r="AS105" s="70"/>
      <c r="AT105" s="70"/>
      <c r="AU105" s="2"/>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c r="CA105" s="26"/>
      <c r="CB105" s="27"/>
    </row>
    <row r="106" spans="2:80" ht="4.95" customHeight="1" x14ac:dyDescent="0.3">
      <c r="AL106" s="70"/>
      <c r="AM106" s="70"/>
      <c r="AN106" s="70"/>
      <c r="AO106" s="70"/>
      <c r="AP106" s="70"/>
      <c r="AQ106" s="70"/>
      <c r="AR106" s="70"/>
      <c r="AS106" s="70"/>
      <c r="AT106" s="70"/>
      <c r="AU106" s="2"/>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c r="CA106" s="26"/>
      <c r="CB106" s="27"/>
    </row>
    <row r="107" spans="2:80" ht="15" customHeight="1" x14ac:dyDescent="0.3">
      <c r="J107" s="2" t="s">
        <v>358</v>
      </c>
      <c r="K107" s="161"/>
      <c r="L107" s="28" t="s">
        <v>115</v>
      </c>
      <c r="N107" s="161"/>
      <c r="O107" s="28" t="s">
        <v>116</v>
      </c>
      <c r="T107" s="217"/>
      <c r="U107" s="217"/>
      <c r="V107" s="217"/>
      <c r="W107" s="28" t="s">
        <v>39</v>
      </c>
      <c r="Y107" s="181"/>
      <c r="Z107" s="181"/>
      <c r="AA107" s="181"/>
      <c r="AB107" s="28" t="s">
        <v>40</v>
      </c>
      <c r="AL107" s="94">
        <f>IF(AND(ISBLANK(K107),ISBLANK(N107)),1,2)</f>
        <v>1</v>
      </c>
      <c r="AM107" s="94">
        <f>IF(ISBLANK(K107),1,2)</f>
        <v>1</v>
      </c>
      <c r="AN107" s="94"/>
      <c r="AO107" s="70"/>
      <c r="AP107" s="70"/>
      <c r="AQ107" s="70"/>
      <c r="AR107" s="70"/>
      <c r="AS107" s="70"/>
      <c r="AT107" s="70"/>
      <c r="AU107" s="2"/>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c r="CA107" s="26"/>
      <c r="CB107" s="27"/>
    </row>
    <row r="108" spans="2:80" ht="15" customHeight="1" x14ac:dyDescent="0.3">
      <c r="AN108" s="70"/>
      <c r="AO108" s="70"/>
      <c r="AP108" s="70"/>
      <c r="AQ108" s="70"/>
      <c r="AR108" s="70"/>
      <c r="AS108" s="70"/>
      <c r="AT108" s="70"/>
      <c r="AU108" s="2"/>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c r="CA108" s="26"/>
      <c r="CB108" s="27"/>
    </row>
    <row r="109" spans="2:80" ht="15" customHeight="1" x14ac:dyDescent="0.3">
      <c r="B109" s="203">
        <f>Tables!$F$13</f>
        <v>46266</v>
      </c>
      <c r="C109" s="203"/>
      <c r="D109" s="203"/>
      <c r="E109" s="203"/>
      <c r="F109" s="203"/>
      <c r="G109" s="203"/>
      <c r="H109" s="203"/>
      <c r="R109" s="178" t="s">
        <v>299</v>
      </c>
      <c r="S109" s="178"/>
      <c r="T109" s="178"/>
      <c r="U109" s="178"/>
      <c r="AK109" s="33"/>
      <c r="AN109" s="70"/>
      <c r="AO109" s="70"/>
      <c r="AP109" s="70"/>
      <c r="AQ109" s="70"/>
      <c r="AR109" s="70"/>
      <c r="AS109" s="70"/>
      <c r="AT109" s="70"/>
      <c r="AU109" s="2"/>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7"/>
    </row>
    <row r="110" spans="2:80" ht="15" customHeight="1" x14ac:dyDescent="0.3">
      <c r="C110" s="2" t="s">
        <v>1</v>
      </c>
      <c r="D110" s="188">
        <f>IF(ISBLANK($E$7),0,$E$7)</f>
        <v>0</v>
      </c>
      <c r="E110" s="188"/>
      <c r="F110" s="188"/>
      <c r="G110" s="188"/>
      <c r="H110" s="188"/>
      <c r="I110" s="188"/>
      <c r="J110" s="188"/>
      <c r="K110" s="188"/>
      <c r="L110" s="188"/>
      <c r="M110" s="188"/>
      <c r="N110" s="188"/>
      <c r="O110" s="188"/>
      <c r="P110" s="188"/>
      <c r="Q110" s="188"/>
      <c r="R110" s="188"/>
      <c r="S110" s="188"/>
      <c r="T110" s="188"/>
      <c r="U110" s="188"/>
      <c r="V110" s="188"/>
      <c r="W110" s="188"/>
      <c r="X110" s="188"/>
      <c r="Y110" s="188"/>
      <c r="AD110" s="2" t="s">
        <v>19</v>
      </c>
      <c r="AE110" s="186">
        <f>IF(ISBLANK($AE$7),0,$AE$7)</f>
        <v>0</v>
      </c>
      <c r="AF110" s="186"/>
      <c r="AG110" s="186"/>
      <c r="AH110" s="186"/>
      <c r="AI110" s="186"/>
      <c r="AJ110" s="186"/>
      <c r="AN110" s="70"/>
      <c r="AO110" s="70"/>
      <c r="AP110" s="70"/>
      <c r="AQ110" s="70"/>
      <c r="AR110" s="70"/>
      <c r="AS110" s="70"/>
      <c r="AT110" s="70"/>
      <c r="AU110" s="2"/>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7"/>
    </row>
    <row r="111" spans="2:80" ht="15" customHeight="1" x14ac:dyDescent="0.3">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D111" s="2" t="s">
        <v>32</v>
      </c>
      <c r="AE111" s="187">
        <f>IF(ISBLANK($AE$8),0,$AE$8)</f>
        <v>0</v>
      </c>
      <c r="AF111" s="187"/>
      <c r="AG111" s="187"/>
      <c r="AH111" s="187"/>
      <c r="AI111" s="187"/>
      <c r="AJ111" s="187"/>
      <c r="AN111" s="70"/>
      <c r="AO111" s="70"/>
      <c r="AP111" s="70"/>
      <c r="AQ111" s="70"/>
      <c r="AR111" s="70"/>
      <c r="AS111" s="70"/>
      <c r="AT111" s="70"/>
      <c r="AU111" s="2"/>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c r="CA111" s="26"/>
      <c r="CB111" s="27"/>
    </row>
    <row r="112" spans="2:80" ht="15" customHeight="1" x14ac:dyDescent="0.3">
      <c r="C112" s="81" t="s">
        <v>359</v>
      </c>
      <c r="AN112" s="70"/>
      <c r="AO112" s="70"/>
      <c r="AP112" s="70"/>
      <c r="AQ112" s="70"/>
      <c r="AR112" s="70"/>
      <c r="AS112" s="70"/>
      <c r="AT112" s="70"/>
      <c r="AU112" s="2"/>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7"/>
    </row>
    <row r="113" spans="2:80" ht="15" customHeight="1" x14ac:dyDescent="0.3">
      <c r="N113" s="178" t="s">
        <v>21</v>
      </c>
      <c r="O113" s="178"/>
      <c r="P113" s="178"/>
      <c r="Q113" s="178"/>
      <c r="U113" s="4" t="s">
        <v>220</v>
      </c>
      <c r="Z113" s="4" t="s">
        <v>38</v>
      </c>
      <c r="AN113" s="70"/>
      <c r="AO113" s="70"/>
      <c r="AP113" s="70"/>
      <c r="AQ113" s="70"/>
      <c r="AR113" s="70"/>
      <c r="AS113" s="70"/>
      <c r="AT113" s="70"/>
      <c r="AU113" s="2"/>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7"/>
    </row>
    <row r="114" spans="2:80" ht="15" customHeight="1" x14ac:dyDescent="0.3">
      <c r="C114" s="81" t="s">
        <v>221</v>
      </c>
      <c r="I114" s="161"/>
      <c r="J114" s="28" t="s">
        <v>295</v>
      </c>
      <c r="N114" s="206"/>
      <c r="O114" s="206"/>
      <c r="P114" s="206"/>
      <c r="Q114" s="206"/>
      <c r="T114" s="181"/>
      <c r="U114" s="181"/>
      <c r="V114" s="181"/>
      <c r="W114" s="28" t="s">
        <v>39</v>
      </c>
      <c r="X114" s="2"/>
      <c r="Y114" s="181"/>
      <c r="Z114" s="181"/>
      <c r="AA114" s="181"/>
      <c r="AB114" s="28" t="s">
        <v>40</v>
      </c>
      <c r="AF114" s="2"/>
      <c r="AL114" s="94">
        <f>IF(ISBLANK(I114),1,2)</f>
        <v>1</v>
      </c>
      <c r="AM114" s="94">
        <f>IF(ISBLANK(T114),1,2)</f>
        <v>1</v>
      </c>
      <c r="AN114" s="70"/>
      <c r="AO114" s="70"/>
      <c r="AP114" s="70"/>
      <c r="AQ114" s="70"/>
      <c r="AR114" s="70"/>
      <c r="AS114" s="70"/>
      <c r="AT114" s="70"/>
      <c r="AU114" s="2"/>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c r="CA114" s="26"/>
      <c r="CB114" s="27"/>
    </row>
    <row r="115" spans="2:80" ht="4.95" customHeight="1" x14ac:dyDescent="0.3">
      <c r="AN115" s="70"/>
      <c r="AO115" s="70"/>
      <c r="AP115" s="70"/>
      <c r="AQ115" s="70"/>
      <c r="AR115" s="70"/>
      <c r="AS115" s="70"/>
      <c r="AT115" s="70"/>
      <c r="AU115" s="2"/>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c r="CA115" s="26"/>
      <c r="CB115" s="27"/>
    </row>
    <row r="116" spans="2:80" ht="15" customHeight="1" x14ac:dyDescent="0.3">
      <c r="C116" s="81" t="s">
        <v>222</v>
      </c>
      <c r="I116" s="161"/>
      <c r="J116" s="28" t="s">
        <v>295</v>
      </c>
      <c r="N116" s="206"/>
      <c r="O116" s="206"/>
      <c r="P116" s="206"/>
      <c r="Q116" s="206"/>
      <c r="T116" s="181"/>
      <c r="U116" s="181"/>
      <c r="V116" s="181"/>
      <c r="W116" s="28" t="s">
        <v>39</v>
      </c>
      <c r="AC116" s="2" t="s">
        <v>226</v>
      </c>
      <c r="AD116" s="219"/>
      <c r="AE116" s="219"/>
      <c r="AF116" s="219"/>
      <c r="AG116" s="28" t="s">
        <v>219</v>
      </c>
      <c r="AL116" s="94">
        <f>IF(ISBLANK(I116),1,2)</f>
        <v>1</v>
      </c>
      <c r="AM116" s="94">
        <f>IF(ISBLANK(AD116),1,2)</f>
        <v>1</v>
      </c>
      <c r="AN116" s="70"/>
      <c r="AO116" s="70"/>
      <c r="AP116" s="70"/>
      <c r="AQ116" s="70"/>
      <c r="AR116" s="70"/>
      <c r="AS116" s="70"/>
      <c r="AT116" s="70"/>
      <c r="AU116" s="2"/>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c r="CA116" s="26"/>
      <c r="CB116" s="27"/>
    </row>
    <row r="117" spans="2:80" ht="15" customHeight="1" x14ac:dyDescent="0.3">
      <c r="B117" s="1" t="s">
        <v>414</v>
      </c>
      <c r="C117" s="1"/>
      <c r="D117" s="1"/>
      <c r="E117" s="1"/>
      <c r="F117" s="1"/>
      <c r="G117" s="1"/>
      <c r="H117" s="1"/>
      <c r="I117" s="1"/>
      <c r="J117" s="2"/>
      <c r="K117" s="2"/>
      <c r="L117" s="2"/>
      <c r="M117" s="2"/>
      <c r="N117" s="40"/>
      <c r="O117" s="39"/>
      <c r="P117" s="39"/>
      <c r="Q117" s="39"/>
      <c r="R117" s="39"/>
      <c r="S117" s="39"/>
      <c r="T117" s="39"/>
      <c r="U117" s="39"/>
      <c r="V117" s="39"/>
      <c r="W117" s="39"/>
      <c r="X117" s="39"/>
      <c r="Y117" s="39"/>
      <c r="Z117" s="39"/>
    </row>
    <row r="118" spans="2:80" s="74" customFormat="1" ht="4.95" customHeight="1" x14ac:dyDescent="0.3">
      <c r="B118" s="1"/>
      <c r="C118" s="1"/>
      <c r="D118" s="1"/>
      <c r="E118" s="1"/>
      <c r="F118" s="1"/>
      <c r="G118" s="1"/>
      <c r="H118" s="1"/>
      <c r="I118" s="1"/>
      <c r="AL118" s="75"/>
      <c r="AM118" s="75"/>
      <c r="AN118" s="75"/>
      <c r="AO118" s="75"/>
      <c r="AP118" s="75"/>
      <c r="AQ118" s="75"/>
      <c r="AR118" s="75"/>
      <c r="AS118" s="75"/>
      <c r="AT118" s="75"/>
    </row>
    <row r="119" spans="2:80" ht="15" customHeight="1" x14ac:dyDescent="0.3">
      <c r="E119" s="2" t="s">
        <v>157</v>
      </c>
      <c r="F119" s="206"/>
      <c r="G119" s="206"/>
      <c r="H119" s="206"/>
      <c r="I119" s="206"/>
      <c r="J119" s="74"/>
      <c r="K119" s="74"/>
      <c r="L119" s="74"/>
      <c r="O119" s="2" t="s">
        <v>158</v>
      </c>
      <c r="P119" s="206"/>
      <c r="Q119" s="206"/>
      <c r="R119" s="206"/>
      <c r="AC119" s="2"/>
      <c r="AE119" s="2" t="s">
        <v>132</v>
      </c>
      <c r="AF119" s="161"/>
      <c r="AG119" s="28" t="s">
        <v>115</v>
      </c>
      <c r="AI119" s="161"/>
      <c r="AJ119" s="28" t="s">
        <v>116</v>
      </c>
      <c r="AL119" s="94">
        <f>IF(AND(ISBLANK(AF119),ISBLANK(AI119)),1,2)</f>
        <v>1</v>
      </c>
      <c r="AM119" s="94">
        <f>IF(ISBLANK(AI119),1,2)</f>
        <v>1</v>
      </c>
    </row>
    <row r="120" spans="2:80" ht="15" customHeight="1" x14ac:dyDescent="0.3">
      <c r="E120" s="2" t="s">
        <v>156</v>
      </c>
      <c r="F120" s="180"/>
      <c r="G120" s="180"/>
      <c r="H120" s="180"/>
      <c r="I120" s="180"/>
      <c r="J120" s="28" t="s">
        <v>40</v>
      </c>
      <c r="K120" s="33"/>
      <c r="AL120" s="94">
        <f>IF(ISBLANK(F120),1,2)</f>
        <v>1</v>
      </c>
    </row>
    <row r="121" spans="2:80" ht="15" customHeight="1" x14ac:dyDescent="0.3">
      <c r="E121" s="2" t="s">
        <v>155</v>
      </c>
      <c r="F121" s="180"/>
      <c r="G121" s="180"/>
      <c r="H121" s="180"/>
      <c r="I121" s="180"/>
      <c r="J121" s="28" t="s">
        <v>40</v>
      </c>
      <c r="K121" s="33"/>
      <c r="O121" s="2" t="s">
        <v>159</v>
      </c>
      <c r="P121" s="181"/>
      <c r="Q121" s="181"/>
      <c r="R121" s="181"/>
      <c r="S121" s="28" t="s">
        <v>40</v>
      </c>
      <c r="AL121" s="94">
        <f>IF(AND(ISBLANK(F121),ISBLANK(P121)),1,2)</f>
        <v>1</v>
      </c>
    </row>
    <row r="122" spans="2:80" ht="15" customHeight="1" x14ac:dyDescent="0.3">
      <c r="E122" s="2" t="s">
        <v>150</v>
      </c>
      <c r="F122" s="180"/>
      <c r="G122" s="180"/>
      <c r="H122" s="180"/>
      <c r="I122" s="180"/>
      <c r="J122" s="28" t="s">
        <v>40</v>
      </c>
      <c r="K122" s="33"/>
      <c r="O122" s="2" t="s">
        <v>160</v>
      </c>
      <c r="P122" s="180"/>
      <c r="Q122" s="180"/>
      <c r="R122" s="180"/>
      <c r="S122" s="28" t="s">
        <v>40</v>
      </c>
      <c r="AM122" s="94">
        <f>IF(AND(ISBLANK(AF122),ISBLANK(AI122)),1,2)</f>
        <v>1</v>
      </c>
    </row>
    <row r="123" spans="2:80" ht="4.95" customHeight="1" x14ac:dyDescent="0.3">
      <c r="E123" s="2"/>
      <c r="F123" s="32"/>
      <c r="G123" s="32"/>
      <c r="H123" s="32"/>
      <c r="I123" s="32"/>
      <c r="J123" s="33"/>
      <c r="K123" s="33"/>
      <c r="Q123" s="2"/>
      <c r="R123" s="33"/>
      <c r="S123" s="33"/>
    </row>
    <row r="124" spans="2:80" ht="15" customHeight="1" x14ac:dyDescent="0.3">
      <c r="F124" s="178" t="s">
        <v>31</v>
      </c>
      <c r="G124" s="178"/>
      <c r="H124" s="178"/>
      <c r="I124" s="178"/>
      <c r="J124" s="33"/>
      <c r="K124" s="33"/>
      <c r="L124" s="4" t="s">
        <v>543</v>
      </c>
      <c r="N124" s="4"/>
      <c r="O124" s="4"/>
      <c r="P124" s="4"/>
      <c r="Q124" s="4" t="s">
        <v>544</v>
      </c>
      <c r="S124" s="4"/>
      <c r="V124" s="4" t="s">
        <v>38</v>
      </c>
      <c r="AA124" s="4" t="s">
        <v>76</v>
      </c>
      <c r="AB124" s="4"/>
      <c r="AC124" s="4"/>
      <c r="AF124" s="4" t="s">
        <v>345</v>
      </c>
      <c r="AG124" s="4"/>
      <c r="AH124" s="4"/>
    </row>
    <row r="125" spans="2:80" ht="15" customHeight="1" x14ac:dyDescent="0.3">
      <c r="E125" s="2" t="s">
        <v>153</v>
      </c>
      <c r="F125" s="206"/>
      <c r="G125" s="206"/>
      <c r="H125" s="206"/>
      <c r="I125" s="206"/>
      <c r="J125" s="33"/>
      <c r="K125" s="181"/>
      <c r="L125" s="181"/>
      <c r="M125" s="181"/>
      <c r="N125" s="28" t="s">
        <v>39</v>
      </c>
      <c r="O125" s="4"/>
      <c r="P125" s="181"/>
      <c r="Q125" s="181"/>
      <c r="R125" s="181"/>
      <c r="S125" s="28" t="s">
        <v>39</v>
      </c>
      <c r="U125" s="181"/>
      <c r="V125" s="181"/>
      <c r="W125" s="181"/>
      <c r="X125" s="28" t="s">
        <v>40</v>
      </c>
      <c r="Z125" s="181"/>
      <c r="AA125" s="181"/>
      <c r="AB125" s="181"/>
      <c r="AC125" s="28" t="s">
        <v>40</v>
      </c>
      <c r="AE125" s="181"/>
      <c r="AF125" s="181"/>
      <c r="AG125" s="181"/>
      <c r="AH125" s="28" t="s">
        <v>343</v>
      </c>
      <c r="AL125" s="94">
        <f>IF(ISBLANK(F125),1,2)</f>
        <v>1</v>
      </c>
      <c r="AM125" s="94">
        <f>IF(AND(ISBLANK(AF125),ISBLANK(AI125)),1,2)</f>
        <v>1</v>
      </c>
    </row>
    <row r="126" spans="2:80" ht="4.95" customHeight="1" x14ac:dyDescent="0.3">
      <c r="E126" s="2"/>
      <c r="F126" s="2"/>
      <c r="G126" s="2"/>
      <c r="H126" s="2"/>
      <c r="I126" s="2"/>
      <c r="J126" s="33"/>
      <c r="K126" s="2"/>
      <c r="L126" s="2"/>
      <c r="N126" s="2"/>
      <c r="O126" s="4"/>
      <c r="P126" s="2"/>
      <c r="S126" s="2"/>
      <c r="U126" s="2"/>
      <c r="V126" s="2"/>
      <c r="X126" s="2"/>
      <c r="Y126" s="2"/>
      <c r="Z126" s="2"/>
      <c r="AC126" s="2"/>
      <c r="AD126" s="2"/>
      <c r="AE126" s="2"/>
      <c r="AF126" s="2"/>
      <c r="AG126" s="2"/>
      <c r="AH126" s="2"/>
      <c r="AI126" s="2"/>
      <c r="AJ126" s="2"/>
    </row>
    <row r="127" spans="2:80" ht="15" customHeight="1" x14ac:dyDescent="0.3">
      <c r="E127" s="2" t="s">
        <v>152</v>
      </c>
      <c r="F127" s="206"/>
      <c r="G127" s="206"/>
      <c r="H127" s="206"/>
      <c r="I127" s="206"/>
      <c r="J127" s="33"/>
      <c r="K127" s="181"/>
      <c r="L127" s="181"/>
      <c r="M127" s="181"/>
      <c r="N127" s="28" t="str">
        <f>IF(F127="V-notch","deg","in")</f>
        <v>in</v>
      </c>
      <c r="O127" s="4"/>
      <c r="P127" s="181"/>
      <c r="Q127" s="181"/>
      <c r="R127" s="181"/>
      <c r="S127" s="28" t="s">
        <v>39</v>
      </c>
      <c r="U127" s="181"/>
      <c r="V127" s="181"/>
      <c r="W127" s="181"/>
      <c r="X127" s="28" t="s">
        <v>40</v>
      </c>
      <c r="AC127" s="2"/>
      <c r="AE127" s="2" t="s">
        <v>331</v>
      </c>
      <c r="AF127" s="161"/>
      <c r="AG127" s="28" t="s">
        <v>115</v>
      </c>
      <c r="AI127" s="161"/>
      <c r="AJ127" s="28" t="s">
        <v>116</v>
      </c>
      <c r="AL127" s="94">
        <f>IF(ISBLANK(F127),1,2)</f>
        <v>1</v>
      </c>
      <c r="AM127" s="94">
        <f>IF(AND(ISBLANK(AF127),ISBLANK(AI127)),1,2)</f>
        <v>1</v>
      </c>
      <c r="AN127" s="94">
        <f>IF(ISBLANK(AI127),1,IF(AM60=2,1,2))</f>
        <v>1</v>
      </c>
    </row>
    <row r="128" spans="2:80" ht="15" customHeight="1" x14ac:dyDescent="0.3">
      <c r="C128" s="208" t="s">
        <v>169</v>
      </c>
      <c r="D128" s="208"/>
      <c r="E128" s="208"/>
      <c r="F128" s="206"/>
      <c r="G128" s="206"/>
      <c r="H128" s="206"/>
      <c r="I128" s="206"/>
      <c r="J128" s="33"/>
      <c r="K128" s="181"/>
      <c r="L128" s="181"/>
      <c r="M128" s="181"/>
      <c r="N128" s="28" t="str">
        <f>IF(F128="V-notch","deg","in")</f>
        <v>in</v>
      </c>
      <c r="O128" s="4"/>
      <c r="P128" s="181"/>
      <c r="Q128" s="181"/>
      <c r="R128" s="181"/>
      <c r="S128" s="28" t="s">
        <v>39</v>
      </c>
      <c r="U128" s="181"/>
      <c r="V128" s="181"/>
      <c r="W128" s="181"/>
      <c r="X128" s="28" t="s">
        <v>40</v>
      </c>
      <c r="AL128" s="94">
        <f>IF(C128="None: ",3,IF(OR(C128="Orifice: ",C128="Weir: "),2,1))</f>
        <v>1</v>
      </c>
      <c r="AQ128" s="22" t="s">
        <v>557</v>
      </c>
      <c r="AR128" s="13" t="s">
        <v>559</v>
      </c>
    </row>
    <row r="129" spans="2:46" ht="15" customHeight="1" x14ac:dyDescent="0.3">
      <c r="C129" s="208" t="s">
        <v>169</v>
      </c>
      <c r="D129" s="208"/>
      <c r="E129" s="208"/>
      <c r="F129" s="206"/>
      <c r="G129" s="206"/>
      <c r="H129" s="206"/>
      <c r="I129" s="206"/>
      <c r="J129" s="33"/>
      <c r="K129" s="181"/>
      <c r="L129" s="181"/>
      <c r="M129" s="181"/>
      <c r="N129" s="28" t="str">
        <f t="shared" ref="N129:N133" si="5">IF(F129="V-notch","deg","in")</f>
        <v>in</v>
      </c>
      <c r="O129" s="4"/>
      <c r="P129" s="181"/>
      <c r="Q129" s="181"/>
      <c r="R129" s="181"/>
      <c r="S129" s="28" t="s">
        <v>39</v>
      </c>
      <c r="U129" s="181"/>
      <c r="V129" s="181"/>
      <c r="W129" s="181"/>
      <c r="X129" s="28" t="s">
        <v>40</v>
      </c>
      <c r="AL129" s="94">
        <f t="shared" ref="AL129:AL133" si="6">IF(C129="None:",3,IF(OR(C129="Orifice: ",C129="Weir: "),2,1))</f>
        <v>1</v>
      </c>
      <c r="AQ129" s="22">
        <v>1</v>
      </c>
      <c r="AR129" s="116">
        <v>1.5</v>
      </c>
    </row>
    <row r="130" spans="2:46" ht="15" customHeight="1" x14ac:dyDescent="0.3">
      <c r="C130" s="208" t="s">
        <v>169</v>
      </c>
      <c r="D130" s="208"/>
      <c r="E130" s="208"/>
      <c r="F130" s="206"/>
      <c r="G130" s="206"/>
      <c r="H130" s="206"/>
      <c r="I130" s="206"/>
      <c r="J130" s="33"/>
      <c r="K130" s="180"/>
      <c r="L130" s="180"/>
      <c r="M130" s="180"/>
      <c r="N130" s="28" t="str">
        <f t="shared" si="5"/>
        <v>in</v>
      </c>
      <c r="O130" s="4"/>
      <c r="P130" s="180"/>
      <c r="Q130" s="180"/>
      <c r="R130" s="180"/>
      <c r="S130" s="28" t="s">
        <v>39</v>
      </c>
      <c r="U130" s="180"/>
      <c r="V130" s="180"/>
      <c r="W130" s="180"/>
      <c r="X130" s="28" t="s">
        <v>40</v>
      </c>
      <c r="AL130" s="94">
        <f t="shared" si="6"/>
        <v>1</v>
      </c>
      <c r="AQ130" s="22">
        <v>2</v>
      </c>
      <c r="AR130" s="116">
        <v>1.5</v>
      </c>
    </row>
    <row r="131" spans="2:46" ht="15" customHeight="1" x14ac:dyDescent="0.3">
      <c r="C131" s="208" t="s">
        <v>169</v>
      </c>
      <c r="D131" s="208"/>
      <c r="E131" s="208"/>
      <c r="F131" s="206"/>
      <c r="G131" s="206"/>
      <c r="H131" s="206"/>
      <c r="I131" s="206"/>
      <c r="J131" s="33"/>
      <c r="K131" s="180"/>
      <c r="L131" s="180"/>
      <c r="M131" s="180"/>
      <c r="N131" s="28" t="str">
        <f t="shared" si="5"/>
        <v>in</v>
      </c>
      <c r="O131" s="4"/>
      <c r="P131" s="180"/>
      <c r="Q131" s="180"/>
      <c r="R131" s="180"/>
      <c r="S131" s="28" t="s">
        <v>39</v>
      </c>
      <c r="U131" s="180"/>
      <c r="V131" s="180"/>
      <c r="W131" s="180"/>
      <c r="X131" s="28" t="s">
        <v>40</v>
      </c>
      <c r="AL131" s="94">
        <f t="shared" si="6"/>
        <v>1</v>
      </c>
      <c r="AQ131" s="22">
        <v>3</v>
      </c>
      <c r="AR131" s="116">
        <v>2.7</v>
      </c>
    </row>
    <row r="132" spans="2:46" ht="15" customHeight="1" x14ac:dyDescent="0.3">
      <c r="C132" s="208" t="s">
        <v>169</v>
      </c>
      <c r="D132" s="208"/>
      <c r="E132" s="208"/>
      <c r="F132" s="206"/>
      <c r="G132" s="206"/>
      <c r="H132" s="206"/>
      <c r="I132" s="206"/>
      <c r="J132" s="33"/>
      <c r="K132" s="180"/>
      <c r="L132" s="180"/>
      <c r="M132" s="180"/>
      <c r="N132" s="28" t="str">
        <f t="shared" si="5"/>
        <v>in</v>
      </c>
      <c r="O132" s="4"/>
      <c r="P132" s="180"/>
      <c r="Q132" s="180"/>
      <c r="R132" s="180"/>
      <c r="S132" s="28" t="s">
        <v>39</v>
      </c>
      <c r="U132" s="180"/>
      <c r="V132" s="180"/>
      <c r="W132" s="180"/>
      <c r="X132" s="28" t="s">
        <v>40</v>
      </c>
      <c r="AL132" s="94">
        <f t="shared" si="6"/>
        <v>1</v>
      </c>
      <c r="AQ132" s="22">
        <v>4</v>
      </c>
      <c r="AR132" s="116">
        <v>3.5</v>
      </c>
    </row>
    <row r="133" spans="2:46" ht="15" customHeight="1" x14ac:dyDescent="0.3">
      <c r="C133" s="208" t="s">
        <v>169</v>
      </c>
      <c r="D133" s="208"/>
      <c r="E133" s="208"/>
      <c r="F133" s="206"/>
      <c r="G133" s="206"/>
      <c r="H133" s="206"/>
      <c r="I133" s="206"/>
      <c r="J133" s="33"/>
      <c r="K133" s="180"/>
      <c r="L133" s="180"/>
      <c r="M133" s="180"/>
      <c r="N133" s="28" t="str">
        <f t="shared" si="5"/>
        <v>in</v>
      </c>
      <c r="O133" s="4"/>
      <c r="P133" s="180"/>
      <c r="Q133" s="180"/>
      <c r="R133" s="180"/>
      <c r="S133" s="28" t="s">
        <v>39</v>
      </c>
      <c r="U133" s="180"/>
      <c r="V133" s="180"/>
      <c r="W133" s="180"/>
      <c r="X133" s="28" t="s">
        <v>40</v>
      </c>
      <c r="AL133" s="94">
        <f t="shared" si="6"/>
        <v>1</v>
      </c>
      <c r="AQ133" s="22">
        <v>5</v>
      </c>
      <c r="AR133" s="116">
        <v>4.2</v>
      </c>
    </row>
    <row r="134" spans="2:46" ht="15" customHeight="1" x14ac:dyDescent="0.3">
      <c r="AL134" s="22"/>
      <c r="AP134" s="22"/>
      <c r="AS134" s="22"/>
      <c r="AT134" s="22"/>
    </row>
    <row r="135" spans="2:46" ht="15" customHeight="1" x14ac:dyDescent="0.3">
      <c r="B135" s="1" t="s">
        <v>450</v>
      </c>
      <c r="AE135" s="2" t="s">
        <v>553</v>
      </c>
      <c r="AF135" s="161"/>
      <c r="AG135" s="28" t="s">
        <v>115</v>
      </c>
      <c r="AI135" s="161"/>
      <c r="AJ135" s="36" t="s">
        <v>133</v>
      </c>
      <c r="AL135" s="94">
        <f>IF(AND(ISBLANK(AF135),ISBLANK(AI135)),1,2)</f>
        <v>1</v>
      </c>
      <c r="AM135" s="94">
        <f>IF(ISBLANK(AF135),1,3)</f>
        <v>1</v>
      </c>
      <c r="AO135" s="22"/>
      <c r="AP135" s="22"/>
      <c r="AQ135" s="22" t="s">
        <v>556</v>
      </c>
      <c r="AR135" s="22" t="s">
        <v>557</v>
      </c>
      <c r="AS135" s="22" t="s">
        <v>214</v>
      </c>
      <c r="AT135" s="22"/>
    </row>
    <row r="136" spans="2:46" ht="4.95" customHeight="1" x14ac:dyDescent="0.3">
      <c r="AQ136" s="22"/>
    </row>
    <row r="137" spans="2:46" ht="15" customHeight="1" x14ac:dyDescent="0.3">
      <c r="C137" s="1"/>
      <c r="D137" s="1"/>
      <c r="E137" s="2" t="s">
        <v>204</v>
      </c>
      <c r="F137" s="206"/>
      <c r="G137" s="206"/>
      <c r="H137" s="206"/>
      <c r="I137" s="206"/>
      <c r="J137" s="206"/>
      <c r="K137" s="206"/>
      <c r="L137" s="206"/>
      <c r="M137" s="206"/>
      <c r="N137" s="206"/>
      <c r="S137" s="2" t="str">
        <f>IF(AQ137="Yes","Riprap Class: ","")</f>
        <v/>
      </c>
      <c r="T137" s="207"/>
      <c r="U137" s="207"/>
      <c r="AE137" s="2" t="s">
        <v>132</v>
      </c>
      <c r="AF137" s="161"/>
      <c r="AG137" s="28" t="s">
        <v>115</v>
      </c>
      <c r="AI137" s="161"/>
      <c r="AJ137" s="36" t="s">
        <v>133</v>
      </c>
      <c r="AL137" s="94">
        <f>IF(ISBLANK(F137),1,0)</f>
        <v>1</v>
      </c>
      <c r="AM137" s="97">
        <f>SUM(AL137,AO137,AL139:AO139)</f>
        <v>6</v>
      </c>
      <c r="AN137" s="70"/>
      <c r="AO137" s="97">
        <f>IF(AND(ISBLANK(AF137),ISBLANK(AI137)),1,0)</f>
        <v>1</v>
      </c>
      <c r="AP137" s="94">
        <f>IF(ISBLANK(AI137),1,2)</f>
        <v>1</v>
      </c>
      <c r="AQ137" s="94" t="str">
        <f>IF(F137="Riprap apron","Yes","No")</f>
        <v>No</v>
      </c>
      <c r="AR137" s="94">
        <f>T137</f>
        <v>0</v>
      </c>
      <c r="AS137" s="98" t="e">
        <f>VLOOKUP(AR137,$AQ$129:$AR$133,2)</f>
        <v>#N/A</v>
      </c>
    </row>
    <row r="138" spans="2:46" ht="4.95" customHeight="1" x14ac:dyDescent="0.3">
      <c r="AN138" s="70"/>
      <c r="AO138" s="70"/>
      <c r="AP138" s="70"/>
    </row>
    <row r="139" spans="2:46" ht="15" customHeight="1" x14ac:dyDescent="0.3">
      <c r="E139" s="2" t="s">
        <v>159</v>
      </c>
      <c r="F139" s="174"/>
      <c r="G139" s="174"/>
      <c r="H139" s="174"/>
      <c r="I139" s="28" t="s">
        <v>40</v>
      </c>
      <c r="L139" s="2" t="s">
        <v>155</v>
      </c>
      <c r="M139" s="174"/>
      <c r="N139" s="174"/>
      <c r="O139" s="174"/>
      <c r="P139" s="28" t="s">
        <v>40</v>
      </c>
      <c r="S139" s="2" t="s">
        <v>456</v>
      </c>
      <c r="T139" s="181"/>
      <c r="U139" s="181"/>
      <c r="V139" s="28" t="s">
        <v>40</v>
      </c>
      <c r="AE139" s="2" t="s">
        <v>457</v>
      </c>
      <c r="AF139" s="161"/>
      <c r="AG139" s="28" t="s">
        <v>115</v>
      </c>
      <c r="AI139" s="161"/>
      <c r="AJ139" s="36" t="s">
        <v>133</v>
      </c>
      <c r="AL139" s="94">
        <f>IF(ISBLANK(F139),1,0)</f>
        <v>1</v>
      </c>
      <c r="AM139" s="94">
        <f>IF(ISBLANK(M139),1,0)</f>
        <v>1</v>
      </c>
      <c r="AN139" s="94">
        <f>IF(ISBLANK(T139),1,0)</f>
        <v>1</v>
      </c>
      <c r="AO139" s="97">
        <f>IF(AND(ISBLANK(AF139),ISBLANK(AI139)),1,0)</f>
        <v>1</v>
      </c>
      <c r="AP139" s="94">
        <f>IF(ISBLANK(AI139),1,2)</f>
        <v>1</v>
      </c>
      <c r="AQ139" s="94">
        <f>IF(ISBLANK(T139),1,IF(T139&lt;AS137,2,3))</f>
        <v>1</v>
      </c>
    </row>
    <row r="140" spans="2:46" ht="4.95" customHeight="1" x14ac:dyDescent="0.3"/>
    <row r="141" spans="2:46" ht="15" customHeight="1" x14ac:dyDescent="0.3">
      <c r="B141" s="1" t="s">
        <v>415</v>
      </c>
      <c r="C141" s="1"/>
      <c r="D141" s="1"/>
      <c r="E141" s="1"/>
      <c r="F141" s="1"/>
      <c r="G141" s="1"/>
      <c r="H141" s="1"/>
      <c r="I141" s="1"/>
      <c r="K141" s="161"/>
      <c r="L141" s="28" t="s">
        <v>115</v>
      </c>
      <c r="O141" s="161"/>
      <c r="P141" s="28" t="s">
        <v>116</v>
      </c>
      <c r="Z141" s="2"/>
      <c r="AE141" s="2" t="s">
        <v>132</v>
      </c>
      <c r="AF141" s="161"/>
      <c r="AG141" s="28" t="s">
        <v>115</v>
      </c>
      <c r="AH141" s="36"/>
      <c r="AI141" s="161"/>
      <c r="AJ141" s="36" t="s">
        <v>133</v>
      </c>
      <c r="AL141" s="97">
        <f>IF(AND(ISBLANK(AF141),ISBLANK(AI141)),1,2)</f>
        <v>1</v>
      </c>
      <c r="AM141" s="94">
        <f>SUM(AM143:AM144,AM146,AO144:AO146,AO148)</f>
        <v>0</v>
      </c>
      <c r="AN141" s="97">
        <f>IF(ISBLANK(AI141),1,2)</f>
        <v>1</v>
      </c>
      <c r="AQ141" s="70" t="s">
        <v>136</v>
      </c>
      <c r="AR141" s="94">
        <f>SUM(AR142:AR144)</f>
        <v>0</v>
      </c>
      <c r="AS141" s="22"/>
      <c r="AT141" s="22"/>
    </row>
    <row r="142" spans="2:46" ht="4.95" customHeight="1" x14ac:dyDescent="0.3">
      <c r="B142" s="1"/>
      <c r="C142" s="1"/>
      <c r="D142" s="1"/>
      <c r="E142" s="1"/>
      <c r="F142" s="1"/>
      <c r="G142" s="1"/>
      <c r="H142" s="1"/>
      <c r="I142" s="1"/>
      <c r="AJ142" s="36"/>
      <c r="AL142" s="76"/>
    </row>
    <row r="143" spans="2:46" ht="15" customHeight="1" x14ac:dyDescent="0.3">
      <c r="E143" s="2" t="s">
        <v>157</v>
      </c>
      <c r="F143" s="206"/>
      <c r="G143" s="206"/>
      <c r="H143" s="206"/>
      <c r="I143" s="206"/>
      <c r="N143" s="2" t="s">
        <v>158</v>
      </c>
      <c r="O143" s="206"/>
      <c r="P143" s="206"/>
      <c r="Q143" s="206"/>
      <c r="AI143" s="36"/>
      <c r="AJ143" s="36"/>
      <c r="AL143" s="70" t="s">
        <v>50</v>
      </c>
      <c r="AM143" s="94">
        <f>IF(ISBLANK(F144),0,1)</f>
        <v>0</v>
      </c>
      <c r="AN143" s="13" t="s">
        <v>230</v>
      </c>
      <c r="AO143" s="94">
        <f>IF(AND(ISBLANK(K141),ISBLANK(O141)),1,2)</f>
        <v>1</v>
      </c>
      <c r="AP143" s="94">
        <f>IF(ISBLANK(K141),1,2)</f>
        <v>1</v>
      </c>
      <c r="AQ143" s="70" t="s">
        <v>134</v>
      </c>
      <c r="AR143" s="94">
        <f>IF(ISBLANK(O146),0,1)</f>
        <v>0</v>
      </c>
      <c r="AS143" s="22"/>
      <c r="AT143" s="22"/>
    </row>
    <row r="144" spans="2:46" ht="15" customHeight="1" x14ac:dyDescent="0.3">
      <c r="E144" s="2" t="s">
        <v>155</v>
      </c>
      <c r="F144" s="180"/>
      <c r="G144" s="180"/>
      <c r="H144" s="180"/>
      <c r="I144" s="180"/>
      <c r="J144" s="28" t="s">
        <v>40</v>
      </c>
      <c r="N144" s="2" t="s">
        <v>159</v>
      </c>
      <c r="O144" s="180"/>
      <c r="P144" s="180"/>
      <c r="Q144" s="180"/>
      <c r="R144" s="28" t="s">
        <v>40</v>
      </c>
      <c r="V144" s="2" t="s">
        <v>171</v>
      </c>
      <c r="W144" s="181"/>
      <c r="X144" s="181"/>
      <c r="Y144" s="181"/>
      <c r="Z144" s="28" t="s">
        <v>40</v>
      </c>
      <c r="AE144" s="2" t="s">
        <v>42</v>
      </c>
      <c r="AF144" s="181"/>
      <c r="AG144" s="181"/>
      <c r="AH144" s="181"/>
      <c r="AI144" s="28" t="s">
        <v>40</v>
      </c>
      <c r="AL144" s="70" t="s">
        <v>76</v>
      </c>
      <c r="AM144" s="94">
        <f>IF(ISBLANK(O144),0,1)</f>
        <v>0</v>
      </c>
      <c r="AN144" s="70" t="s">
        <v>21</v>
      </c>
      <c r="AO144" s="94">
        <f>IF(ISBLANK(F143),0,1)</f>
        <v>0</v>
      </c>
      <c r="AP144" s="22"/>
      <c r="AQ144" s="70" t="s">
        <v>135</v>
      </c>
      <c r="AR144" s="94">
        <f>IF(ISBLANK(W146),0,1)</f>
        <v>0</v>
      </c>
      <c r="AS144" s="22"/>
      <c r="AT144" s="22"/>
    </row>
    <row r="145" spans="2:46" ht="4.95" customHeight="1" x14ac:dyDescent="0.3">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L145" s="70"/>
    </row>
    <row r="146" spans="2:46" ht="15" customHeight="1" x14ac:dyDescent="0.3">
      <c r="B146" s="1" t="s">
        <v>14</v>
      </c>
      <c r="N146" s="34" t="s">
        <v>44</v>
      </c>
      <c r="O146" s="220"/>
      <c r="P146" s="220"/>
      <c r="Q146" s="220"/>
      <c r="R146" s="220"/>
      <c r="V146" s="2" t="s">
        <v>45</v>
      </c>
      <c r="W146" s="182"/>
      <c r="X146" s="182"/>
      <c r="Y146" s="182"/>
      <c r="Z146" s="182"/>
      <c r="AL146" s="70" t="s">
        <v>77</v>
      </c>
      <c r="AM146" s="94">
        <f>IF(ISBLANK(W144),0,1)</f>
        <v>0</v>
      </c>
      <c r="AN146" s="70" t="s">
        <v>31</v>
      </c>
      <c r="AO146" s="94">
        <f>IF(ISBLANK(O143),0,1)</f>
        <v>0</v>
      </c>
      <c r="AP146" s="22"/>
      <c r="AQ146" s="70" t="s">
        <v>411</v>
      </c>
      <c r="AR146" s="94">
        <f>IF(ISBLANK(O146),1,IF(ISTEXT(O146)=TRUE,3,2))</f>
        <v>1</v>
      </c>
      <c r="AS146" s="22"/>
      <c r="AT146" s="22"/>
    </row>
    <row r="147" spans="2:46" ht="4.95" customHeight="1" x14ac:dyDescent="0.3">
      <c r="B147" s="1"/>
      <c r="AL147" s="70"/>
      <c r="AN147" s="70"/>
    </row>
    <row r="148" spans="2:46" ht="19.95" customHeight="1" x14ac:dyDescent="0.3">
      <c r="B148" s="1" t="s">
        <v>388</v>
      </c>
      <c r="C148" s="1"/>
      <c r="D148" s="1"/>
      <c r="E148" s="1"/>
      <c r="F148" s="1"/>
      <c r="G148" s="1"/>
      <c r="H148" s="1"/>
      <c r="I148" s="1"/>
      <c r="AN148" s="70" t="s">
        <v>78</v>
      </c>
      <c r="AO148" s="94">
        <f>IF(ISBLANK(AF144),0,1)</f>
        <v>0</v>
      </c>
      <c r="AQ148" s="70" t="s">
        <v>412</v>
      </c>
      <c r="AR148" s="94">
        <f>IF(ISBLANK(W146),1,IF(ISTEXT(W146)=TRUE,3,2))</f>
        <v>1</v>
      </c>
    </row>
    <row r="149" spans="2:46" ht="15" customHeight="1" x14ac:dyDescent="0.3">
      <c r="C149" s="178" t="s">
        <v>15</v>
      </c>
      <c r="D149" s="178"/>
      <c r="E149" s="178"/>
      <c r="F149" s="4"/>
      <c r="G149" s="4"/>
      <c r="H149" s="4"/>
      <c r="I149" s="4" t="s">
        <v>16</v>
      </c>
      <c r="K149" s="4"/>
      <c r="L149" s="4"/>
      <c r="M149" s="28" t="s">
        <v>47</v>
      </c>
      <c r="T149" s="4" t="s">
        <v>15</v>
      </c>
      <c r="V149" s="4"/>
      <c r="W149" s="4"/>
      <c r="Y149" s="4" t="s">
        <v>16</v>
      </c>
      <c r="Z149" s="4"/>
      <c r="AC149" s="28" t="s">
        <v>47</v>
      </c>
    </row>
    <row r="150" spans="2:46" ht="15" customHeight="1" x14ac:dyDescent="0.3">
      <c r="C150" s="181"/>
      <c r="D150" s="181"/>
      <c r="E150" s="181"/>
      <c r="F150" s="28" t="s">
        <v>40</v>
      </c>
      <c r="H150" s="179"/>
      <c r="I150" s="179"/>
      <c r="J150" s="179"/>
      <c r="K150" s="28" t="s">
        <v>36</v>
      </c>
      <c r="M150" s="179"/>
      <c r="N150" s="179"/>
      <c r="O150" s="179"/>
      <c r="P150" s="179"/>
      <c r="Q150" s="28" t="s">
        <v>34</v>
      </c>
      <c r="S150" s="181"/>
      <c r="T150" s="181"/>
      <c r="U150" s="181"/>
      <c r="V150" s="28" t="s">
        <v>40</v>
      </c>
      <c r="W150" s="33"/>
      <c r="X150" s="179"/>
      <c r="Y150" s="179"/>
      <c r="Z150" s="179"/>
      <c r="AA150" s="28" t="s">
        <v>36</v>
      </c>
      <c r="AC150" s="179"/>
      <c r="AD150" s="179"/>
      <c r="AE150" s="179"/>
      <c r="AF150" s="179"/>
      <c r="AG150" s="28" t="s">
        <v>34</v>
      </c>
      <c r="AL150" s="94">
        <f t="shared" ref="AL150:AL156" si="7">IF(ISBLANK(C150),1,2)</f>
        <v>1</v>
      </c>
      <c r="AM150" s="94">
        <f t="shared" ref="AM150:AM156" si="8">IF(ISBLANK(S150),1,2)</f>
        <v>1</v>
      </c>
      <c r="AN150" s="94">
        <f>IF(ISBLANK(H150),1,2)</f>
        <v>1</v>
      </c>
      <c r="AO150" s="94">
        <f>IF(ISBLANK(M150),1,2)</f>
        <v>1</v>
      </c>
      <c r="AP150" s="22"/>
    </row>
    <row r="151" spans="2:46" ht="15" customHeight="1" x14ac:dyDescent="0.3">
      <c r="C151" s="180"/>
      <c r="D151" s="180"/>
      <c r="E151" s="180"/>
      <c r="F151" s="28" t="s">
        <v>40</v>
      </c>
      <c r="H151" s="176"/>
      <c r="I151" s="176"/>
      <c r="J151" s="176"/>
      <c r="K151" s="28" t="s">
        <v>36</v>
      </c>
      <c r="M151" s="176"/>
      <c r="N151" s="176"/>
      <c r="O151" s="176"/>
      <c r="P151" s="176"/>
      <c r="Q151" s="28" t="s">
        <v>34</v>
      </c>
      <c r="S151" s="180"/>
      <c r="T151" s="180"/>
      <c r="U151" s="180"/>
      <c r="V151" s="28" t="s">
        <v>40</v>
      </c>
      <c r="W151" s="33"/>
      <c r="X151" s="176"/>
      <c r="Y151" s="176"/>
      <c r="Z151" s="176"/>
      <c r="AA151" s="28" t="s">
        <v>36</v>
      </c>
      <c r="AC151" s="176"/>
      <c r="AD151" s="176"/>
      <c r="AE151" s="176"/>
      <c r="AF151" s="176"/>
      <c r="AG151" s="28" t="s">
        <v>34</v>
      </c>
      <c r="AL151" s="94">
        <f t="shared" si="7"/>
        <v>1</v>
      </c>
      <c r="AM151" s="94">
        <f t="shared" si="8"/>
        <v>1</v>
      </c>
    </row>
    <row r="152" spans="2:46" ht="15" customHeight="1" x14ac:dyDescent="0.3">
      <c r="C152" s="180"/>
      <c r="D152" s="180"/>
      <c r="E152" s="180"/>
      <c r="F152" s="28" t="s">
        <v>40</v>
      </c>
      <c r="H152" s="176"/>
      <c r="I152" s="176"/>
      <c r="J152" s="176"/>
      <c r="K152" s="28" t="s">
        <v>36</v>
      </c>
      <c r="M152" s="176"/>
      <c r="N152" s="176"/>
      <c r="O152" s="176"/>
      <c r="P152" s="176"/>
      <c r="Q152" s="28" t="s">
        <v>34</v>
      </c>
      <c r="S152" s="180"/>
      <c r="T152" s="180"/>
      <c r="U152" s="180"/>
      <c r="V152" s="28" t="s">
        <v>40</v>
      </c>
      <c r="W152" s="33"/>
      <c r="X152" s="176"/>
      <c r="Y152" s="176"/>
      <c r="Z152" s="176"/>
      <c r="AA152" s="28" t="s">
        <v>36</v>
      </c>
      <c r="AC152" s="176"/>
      <c r="AD152" s="176"/>
      <c r="AE152" s="176"/>
      <c r="AF152" s="176"/>
      <c r="AG152" s="28" t="s">
        <v>34</v>
      </c>
      <c r="AL152" s="94">
        <f t="shared" si="7"/>
        <v>1</v>
      </c>
      <c r="AM152" s="94">
        <f t="shared" si="8"/>
        <v>1</v>
      </c>
    </row>
    <row r="153" spans="2:46" ht="15" customHeight="1" x14ac:dyDescent="0.3">
      <c r="C153" s="180"/>
      <c r="D153" s="180"/>
      <c r="E153" s="180"/>
      <c r="F153" s="28" t="s">
        <v>40</v>
      </c>
      <c r="H153" s="176"/>
      <c r="I153" s="176"/>
      <c r="J153" s="176"/>
      <c r="K153" s="28" t="s">
        <v>36</v>
      </c>
      <c r="M153" s="176"/>
      <c r="N153" s="176"/>
      <c r="O153" s="176"/>
      <c r="P153" s="176"/>
      <c r="Q153" s="28" t="s">
        <v>34</v>
      </c>
      <c r="S153" s="180"/>
      <c r="T153" s="180"/>
      <c r="U153" s="180"/>
      <c r="V153" s="28" t="s">
        <v>40</v>
      </c>
      <c r="W153" s="33"/>
      <c r="X153" s="176"/>
      <c r="Y153" s="176"/>
      <c r="Z153" s="176"/>
      <c r="AA153" s="28" t="s">
        <v>36</v>
      </c>
      <c r="AC153" s="176"/>
      <c r="AD153" s="176"/>
      <c r="AE153" s="176"/>
      <c r="AF153" s="176"/>
      <c r="AG153" s="28" t="s">
        <v>34</v>
      </c>
      <c r="AL153" s="94">
        <f t="shared" si="7"/>
        <v>1</v>
      </c>
      <c r="AM153" s="94">
        <f t="shared" si="8"/>
        <v>1</v>
      </c>
    </row>
    <row r="154" spans="2:46" ht="15" customHeight="1" x14ac:dyDescent="0.3">
      <c r="C154" s="180"/>
      <c r="D154" s="180"/>
      <c r="E154" s="180"/>
      <c r="F154" s="28" t="s">
        <v>40</v>
      </c>
      <c r="H154" s="176"/>
      <c r="I154" s="176"/>
      <c r="J154" s="176"/>
      <c r="K154" s="28" t="s">
        <v>36</v>
      </c>
      <c r="M154" s="176"/>
      <c r="N154" s="176"/>
      <c r="O154" s="176"/>
      <c r="P154" s="176"/>
      <c r="Q154" s="28" t="s">
        <v>34</v>
      </c>
      <c r="S154" s="180"/>
      <c r="T154" s="180"/>
      <c r="U154" s="180"/>
      <c r="V154" s="28" t="s">
        <v>40</v>
      </c>
      <c r="W154" s="33"/>
      <c r="X154" s="176"/>
      <c r="Y154" s="176"/>
      <c r="Z154" s="176"/>
      <c r="AA154" s="28" t="s">
        <v>36</v>
      </c>
      <c r="AC154" s="176"/>
      <c r="AD154" s="176"/>
      <c r="AE154" s="176"/>
      <c r="AF154" s="176"/>
      <c r="AG154" s="28" t="s">
        <v>34</v>
      </c>
      <c r="AL154" s="94">
        <f t="shared" si="7"/>
        <v>1</v>
      </c>
      <c r="AM154" s="94">
        <f t="shared" si="8"/>
        <v>1</v>
      </c>
    </row>
    <row r="155" spans="2:46" ht="15" customHeight="1" x14ac:dyDescent="0.3">
      <c r="C155" s="180"/>
      <c r="D155" s="180"/>
      <c r="E155" s="180"/>
      <c r="F155" s="28" t="s">
        <v>40</v>
      </c>
      <c r="H155" s="176"/>
      <c r="I155" s="176"/>
      <c r="J155" s="176"/>
      <c r="K155" s="28" t="s">
        <v>36</v>
      </c>
      <c r="M155" s="176"/>
      <c r="N155" s="176"/>
      <c r="O155" s="176"/>
      <c r="P155" s="176"/>
      <c r="Q155" s="28" t="s">
        <v>34</v>
      </c>
      <c r="S155" s="180"/>
      <c r="T155" s="180"/>
      <c r="U155" s="180"/>
      <c r="V155" s="28" t="s">
        <v>40</v>
      </c>
      <c r="W155" s="33"/>
      <c r="X155" s="176"/>
      <c r="Y155" s="176"/>
      <c r="Z155" s="176"/>
      <c r="AA155" s="28" t="s">
        <v>36</v>
      </c>
      <c r="AC155" s="176"/>
      <c r="AD155" s="176"/>
      <c r="AE155" s="176"/>
      <c r="AF155" s="176"/>
      <c r="AG155" s="28" t="s">
        <v>34</v>
      </c>
      <c r="AL155" s="94">
        <f t="shared" si="7"/>
        <v>1</v>
      </c>
      <c r="AM155" s="94">
        <f t="shared" si="8"/>
        <v>1</v>
      </c>
    </row>
    <row r="156" spans="2:46" ht="15" customHeight="1" x14ac:dyDescent="0.3">
      <c r="C156" s="180"/>
      <c r="D156" s="180"/>
      <c r="E156" s="180"/>
      <c r="F156" s="28" t="s">
        <v>40</v>
      </c>
      <c r="H156" s="176"/>
      <c r="I156" s="176"/>
      <c r="J156" s="176"/>
      <c r="K156" s="28" t="s">
        <v>36</v>
      </c>
      <c r="M156" s="176"/>
      <c r="N156" s="176"/>
      <c r="O156" s="176"/>
      <c r="P156" s="176"/>
      <c r="Q156" s="28" t="s">
        <v>34</v>
      </c>
      <c r="S156" s="180"/>
      <c r="T156" s="180"/>
      <c r="U156" s="180"/>
      <c r="V156" s="28" t="s">
        <v>40</v>
      </c>
      <c r="W156" s="33"/>
      <c r="X156" s="176"/>
      <c r="Y156" s="176"/>
      <c r="Z156" s="176"/>
      <c r="AA156" s="28" t="s">
        <v>36</v>
      </c>
      <c r="AC156" s="176"/>
      <c r="AD156" s="176"/>
      <c r="AE156" s="176"/>
      <c r="AF156" s="176"/>
      <c r="AG156" s="28" t="s">
        <v>34</v>
      </c>
      <c r="AL156" s="94">
        <f t="shared" si="7"/>
        <v>1</v>
      </c>
      <c r="AM156" s="94">
        <f t="shared" si="8"/>
        <v>1</v>
      </c>
    </row>
    <row r="157" spans="2:46" ht="19.95" customHeight="1" x14ac:dyDescent="0.3">
      <c r="G157" s="32" t="s">
        <v>48</v>
      </c>
      <c r="H157" s="177">
        <f>$W$23</f>
        <v>0</v>
      </c>
      <c r="I157" s="177"/>
      <c r="J157" s="177"/>
      <c r="K157" s="28" t="s">
        <v>34</v>
      </c>
      <c r="O157" s="77"/>
      <c r="P157" s="41"/>
      <c r="R157" s="32" t="s">
        <v>49</v>
      </c>
      <c r="S157" s="176"/>
      <c r="T157" s="176"/>
      <c r="U157" s="176"/>
      <c r="V157" s="28" t="s">
        <v>34</v>
      </c>
      <c r="AB157" s="41" t="s">
        <v>538</v>
      </c>
      <c r="AC157" s="175"/>
      <c r="AD157" s="175"/>
      <c r="AE157" s="175"/>
      <c r="AF157" s="175"/>
      <c r="AG157" s="28" t="s">
        <v>40</v>
      </c>
      <c r="AL157" s="70" t="s">
        <v>139</v>
      </c>
      <c r="AM157" s="94" t="str">
        <f>IF(ISBLANK(S157),"",IF(ISTEXT(S157),2,IF(OR(S157=H157,S157&gt;H157),1,2)))</f>
        <v/>
      </c>
      <c r="AN157" s="94">
        <f>IF(ISTEXT(S157),2,0)</f>
        <v>0</v>
      </c>
    </row>
    <row r="158" spans="2:46" ht="15" customHeight="1" x14ac:dyDescent="0.3">
      <c r="AM158" s="94">
        <f>IF(OR(ISBLANK(H157),ISBLANK(S157)),2,1)</f>
        <v>2</v>
      </c>
    </row>
    <row r="159" spans="2:46" ht="15" customHeight="1" x14ac:dyDescent="0.3">
      <c r="B159" s="203">
        <f>Tables!$F$13</f>
        <v>46266</v>
      </c>
      <c r="C159" s="203"/>
      <c r="D159" s="203"/>
      <c r="E159" s="203"/>
      <c r="F159" s="203"/>
      <c r="G159" s="203"/>
      <c r="H159" s="203"/>
      <c r="R159" s="178" t="s">
        <v>298</v>
      </c>
      <c r="S159" s="178"/>
      <c r="T159" s="178"/>
      <c r="U159" s="178"/>
      <c r="AK159" s="33"/>
    </row>
    <row r="160" spans="2:46" ht="15" customHeight="1" x14ac:dyDescent="0.3">
      <c r="C160" s="2" t="s">
        <v>1</v>
      </c>
      <c r="D160" s="188">
        <f>IF(ISBLANK($E$7),0,$E$7)</f>
        <v>0</v>
      </c>
      <c r="E160" s="188"/>
      <c r="F160" s="188"/>
      <c r="G160" s="188"/>
      <c r="H160" s="188"/>
      <c r="I160" s="188"/>
      <c r="J160" s="188"/>
      <c r="K160" s="188"/>
      <c r="L160" s="188"/>
      <c r="M160" s="188"/>
      <c r="N160" s="188"/>
      <c r="O160" s="188"/>
      <c r="P160" s="188"/>
      <c r="Q160" s="188"/>
      <c r="R160" s="188"/>
      <c r="S160" s="188"/>
      <c r="T160" s="188"/>
      <c r="U160" s="188"/>
      <c r="V160" s="188"/>
      <c r="W160" s="188"/>
      <c r="X160" s="188"/>
      <c r="Y160" s="188"/>
      <c r="Z160" s="39"/>
      <c r="AD160" s="2" t="s">
        <v>19</v>
      </c>
      <c r="AE160" s="186">
        <f>IF(ISBLANK($AE$7),0,$AE$7)</f>
        <v>0</v>
      </c>
      <c r="AF160" s="186"/>
      <c r="AG160" s="186"/>
      <c r="AH160" s="186"/>
      <c r="AI160" s="186"/>
      <c r="AJ160" s="186"/>
      <c r="AL160" s="13" t="s">
        <v>243</v>
      </c>
    </row>
    <row r="161" spans="2:47" ht="15" customHeight="1" x14ac:dyDescent="0.3">
      <c r="C161" s="40"/>
      <c r="D161" s="40"/>
      <c r="E161" s="40"/>
      <c r="F161" s="40"/>
      <c r="G161" s="40"/>
      <c r="H161" s="40"/>
      <c r="I161" s="40"/>
      <c r="J161" s="2"/>
      <c r="K161" s="2"/>
      <c r="M161" s="2"/>
      <c r="N161" s="40"/>
      <c r="O161" s="39"/>
      <c r="P161" s="39"/>
      <c r="Q161" s="39"/>
      <c r="R161" s="39"/>
      <c r="S161" s="39"/>
      <c r="T161" s="39"/>
      <c r="U161" s="39"/>
      <c r="V161" s="39"/>
      <c r="W161" s="39"/>
      <c r="X161" s="39"/>
      <c r="Y161" s="39"/>
      <c r="Z161" s="39"/>
      <c r="AD161" s="2" t="s">
        <v>32</v>
      </c>
      <c r="AE161" s="187">
        <f>IF(ISBLANK($AE$8),0,$AE$8)</f>
        <v>0</v>
      </c>
      <c r="AF161" s="187"/>
      <c r="AG161" s="187"/>
      <c r="AH161" s="187"/>
      <c r="AI161" s="187"/>
      <c r="AJ161" s="187"/>
      <c r="AL161" s="94">
        <f>IF(ISBLANK(K141),1,2)</f>
        <v>1</v>
      </c>
      <c r="AM161" s="22" t="s">
        <v>408</v>
      </c>
      <c r="AR161" s="22" t="s">
        <v>407</v>
      </c>
      <c r="AS161" s="22"/>
      <c r="AT161" s="22"/>
    </row>
    <row r="162" spans="2:47" ht="15" customHeight="1" x14ac:dyDescent="0.3">
      <c r="B162" s="1" t="s">
        <v>229</v>
      </c>
      <c r="Y162" s="178" t="s">
        <v>407</v>
      </c>
      <c r="Z162" s="178"/>
      <c r="AA162" s="178"/>
      <c r="AC162" s="178" t="s">
        <v>408</v>
      </c>
      <c r="AD162" s="178"/>
      <c r="AE162" s="178"/>
      <c r="AL162" s="22" t="s">
        <v>73</v>
      </c>
      <c r="AM162" s="22" t="s">
        <v>261</v>
      </c>
      <c r="AN162" s="22" t="s">
        <v>74</v>
      </c>
      <c r="AO162" s="13" t="s">
        <v>348</v>
      </c>
      <c r="AP162" s="13" t="s">
        <v>396</v>
      </c>
      <c r="AQ162" s="13" t="s">
        <v>290</v>
      </c>
      <c r="AR162" s="22" t="s">
        <v>261</v>
      </c>
      <c r="AS162" s="22"/>
      <c r="AT162" s="22"/>
    </row>
    <row r="163" spans="2:47" ht="30" customHeight="1" x14ac:dyDescent="0.3">
      <c r="F163" s="1"/>
      <c r="G163" s="1"/>
      <c r="H163" s="1"/>
      <c r="I163" s="189" t="s">
        <v>59</v>
      </c>
      <c r="J163" s="189"/>
      <c r="K163" s="189"/>
      <c r="L163" s="78"/>
      <c r="M163" s="189" t="s">
        <v>535</v>
      </c>
      <c r="N163" s="189"/>
      <c r="O163" s="189"/>
      <c r="P163" s="78"/>
      <c r="Q163" s="189" t="s">
        <v>536</v>
      </c>
      <c r="R163" s="189"/>
      <c r="S163" s="189"/>
      <c r="T163" s="189" t="s">
        <v>279</v>
      </c>
      <c r="U163" s="189"/>
      <c r="V163" s="189"/>
      <c r="W163" s="189"/>
      <c r="X163" s="90"/>
      <c r="Y163" s="189" t="s">
        <v>245</v>
      </c>
      <c r="Z163" s="189"/>
      <c r="AA163" s="189"/>
      <c r="AC163" s="189" t="s">
        <v>245</v>
      </c>
      <c r="AD163" s="189"/>
      <c r="AE163" s="189"/>
      <c r="AF163" s="78"/>
      <c r="AG163" s="189" t="s">
        <v>61</v>
      </c>
      <c r="AH163" s="189"/>
      <c r="AI163" s="189"/>
      <c r="AJ163" s="189"/>
      <c r="AL163" s="94">
        <f>SUM(AL164:AL168)</f>
        <v>5</v>
      </c>
      <c r="AM163" s="94">
        <f>AM169</f>
        <v>1</v>
      </c>
      <c r="AN163" s="94">
        <f t="shared" ref="AN163:AR163" si="9">SUM(AN164:AN169)</f>
        <v>6</v>
      </c>
      <c r="AO163" s="94">
        <f t="shared" si="9"/>
        <v>0</v>
      </c>
      <c r="AP163" s="94">
        <f t="shared" si="9"/>
        <v>0</v>
      </c>
      <c r="AQ163" s="96">
        <f t="shared" si="9"/>
        <v>6</v>
      </c>
      <c r="AR163" s="94">
        <f t="shared" si="9"/>
        <v>6</v>
      </c>
      <c r="AS163" s="22"/>
      <c r="AT163" s="22"/>
      <c r="AU163" s="103"/>
    </row>
    <row r="164" spans="2:47" ht="15" customHeight="1" x14ac:dyDescent="0.3">
      <c r="C164" s="173">
        <f>Tables!$F$16</f>
        <v>4.21</v>
      </c>
      <c r="D164" s="173"/>
      <c r="G164" s="2" t="str">
        <f>Tables!$D$16</f>
        <v>(2-yr)</v>
      </c>
      <c r="H164" s="2"/>
      <c r="I164" s="174"/>
      <c r="J164" s="174"/>
      <c r="K164" s="174"/>
      <c r="L164" s="6"/>
      <c r="M164" s="174"/>
      <c r="N164" s="174"/>
      <c r="O164" s="174"/>
      <c r="Q164" s="174"/>
      <c r="R164" s="174"/>
      <c r="S164" s="174"/>
      <c r="U164" s="174"/>
      <c r="V164" s="174"/>
      <c r="W164" s="174"/>
      <c r="Y164" s="174"/>
      <c r="Z164" s="174"/>
      <c r="AA164" s="174"/>
      <c r="AG164" s="174"/>
      <c r="AH164" s="174"/>
      <c r="AI164" s="174"/>
      <c r="AL164" s="94">
        <f>IF(ISBLANK(U164),1,IF(U164&gt;W$144,1,0))</f>
        <v>1</v>
      </c>
      <c r="AM164" s="164"/>
      <c r="AN164" s="94">
        <f t="shared" ref="AN164:AN169" si="10">IF(OR(ISBLANK(AG164),ISBLANK(I164)),1,IF(AG164&gt;I164,1,0))</f>
        <v>1</v>
      </c>
      <c r="AO164" s="94">
        <f t="shared" ref="AO164:AO169" si="11">IF(OR($AN$182=0,$AN$200=2),0,IF($AG164&gt;$AN$182,1,0))</f>
        <v>0</v>
      </c>
      <c r="AP164" s="94">
        <f t="shared" ref="AP164:AP169" si="12">IF(OR($AN$184=0,$AN$200=2),0,IF($AG164&gt;$AN$184,1,0))</f>
        <v>0</v>
      </c>
      <c r="AQ164" s="96">
        <f t="shared" ref="AQ164:AQ169" si="13">IF(OR(ISBLANK(I164),ISBLANK(AG164)),1,IF(AG164-I164&gt;-0.5,1,0))</f>
        <v>1</v>
      </c>
      <c r="AR164" s="94">
        <f t="shared" ref="AR164:AR169" si="14">IF(ISBLANK(Y164),1,IF(Y164&gt;$AM$172,1,0))</f>
        <v>1</v>
      </c>
      <c r="AS164" s="22"/>
      <c r="AT164" s="22"/>
      <c r="AU164" s="103"/>
    </row>
    <row r="165" spans="2:47" ht="15" customHeight="1" x14ac:dyDescent="0.3">
      <c r="C165" s="173">
        <f>Tables!$F$17</f>
        <v>5.24</v>
      </c>
      <c r="D165" s="173"/>
      <c r="G165" s="2" t="str">
        <f>Tables!$D$17</f>
        <v>(5-yr)</v>
      </c>
      <c r="H165" s="2"/>
      <c r="I165" s="175"/>
      <c r="J165" s="175"/>
      <c r="K165" s="175"/>
      <c r="L165" s="6"/>
      <c r="M165" s="175"/>
      <c r="N165" s="175"/>
      <c r="O165" s="175"/>
      <c r="Q165" s="175"/>
      <c r="R165" s="175"/>
      <c r="S165" s="175"/>
      <c r="U165" s="175"/>
      <c r="V165" s="175"/>
      <c r="W165" s="175"/>
      <c r="Y165" s="175"/>
      <c r="Z165" s="175"/>
      <c r="AA165" s="175"/>
      <c r="AG165" s="175"/>
      <c r="AH165" s="175"/>
      <c r="AI165" s="175"/>
      <c r="AL165" s="94">
        <f>IF(ISBLANK(U165),1,IF(U165&gt;W$144,1,0))</f>
        <v>1</v>
      </c>
      <c r="AM165" s="165"/>
      <c r="AN165" s="94">
        <f t="shared" si="10"/>
        <v>1</v>
      </c>
      <c r="AO165" s="94">
        <f t="shared" si="11"/>
        <v>0</v>
      </c>
      <c r="AP165" s="94">
        <f t="shared" si="12"/>
        <v>0</v>
      </c>
      <c r="AQ165" s="96">
        <f t="shared" si="13"/>
        <v>1</v>
      </c>
      <c r="AR165" s="94">
        <f t="shared" si="14"/>
        <v>1</v>
      </c>
      <c r="AS165" s="22"/>
      <c r="AT165" s="22"/>
      <c r="AU165" s="103"/>
    </row>
    <row r="166" spans="2:47" ht="15" customHeight="1" x14ac:dyDescent="0.3">
      <c r="C166" s="173">
        <f>Tables!$F$18</f>
        <v>6.17</v>
      </c>
      <c r="D166" s="173"/>
      <c r="G166" s="2" t="str">
        <f>Tables!$D$18</f>
        <v>(10-yr)</v>
      </c>
      <c r="H166" s="2"/>
      <c r="I166" s="175"/>
      <c r="J166" s="175"/>
      <c r="K166" s="175"/>
      <c r="L166" s="6"/>
      <c r="M166" s="175"/>
      <c r="N166" s="175"/>
      <c r="O166" s="175"/>
      <c r="Q166" s="175"/>
      <c r="R166" s="175"/>
      <c r="S166" s="175"/>
      <c r="U166" s="175"/>
      <c r="V166" s="175"/>
      <c r="W166" s="175"/>
      <c r="Y166" s="175"/>
      <c r="Z166" s="175"/>
      <c r="AA166" s="175"/>
      <c r="AG166" s="175"/>
      <c r="AH166" s="175"/>
      <c r="AI166" s="175"/>
      <c r="AL166" s="94">
        <f>IF(ISBLANK(U166),1,IF(U166&gt;W$144,1,0))</f>
        <v>1</v>
      </c>
      <c r="AM166" s="165"/>
      <c r="AN166" s="94">
        <f t="shared" si="10"/>
        <v>1</v>
      </c>
      <c r="AO166" s="94">
        <f t="shared" si="11"/>
        <v>0</v>
      </c>
      <c r="AP166" s="94">
        <f t="shared" si="12"/>
        <v>0</v>
      </c>
      <c r="AQ166" s="96">
        <f t="shared" si="13"/>
        <v>1</v>
      </c>
      <c r="AR166" s="94">
        <f t="shared" si="14"/>
        <v>1</v>
      </c>
      <c r="AS166" s="22"/>
      <c r="AT166" s="22"/>
      <c r="AU166" s="103"/>
    </row>
    <row r="167" spans="2:47" ht="15" customHeight="1" x14ac:dyDescent="0.3">
      <c r="C167" s="173">
        <f>Tables!$F$19</f>
        <v>7.55</v>
      </c>
      <c r="D167" s="173"/>
      <c r="G167" s="2" t="str">
        <f>Tables!$D$19</f>
        <v>(25-yr)</v>
      </c>
      <c r="H167" s="2"/>
      <c r="I167" s="175"/>
      <c r="J167" s="175"/>
      <c r="K167" s="175"/>
      <c r="L167" s="6"/>
      <c r="M167" s="175"/>
      <c r="N167" s="175"/>
      <c r="O167" s="175"/>
      <c r="Q167" s="175"/>
      <c r="R167" s="175"/>
      <c r="S167" s="175"/>
      <c r="U167" s="175"/>
      <c r="V167" s="175"/>
      <c r="W167" s="175"/>
      <c r="Y167" s="175"/>
      <c r="Z167" s="175"/>
      <c r="AA167" s="175"/>
      <c r="AG167" s="175"/>
      <c r="AH167" s="175"/>
      <c r="AI167" s="175"/>
      <c r="AL167" s="94">
        <f>IF(ISBLANK(U167),1,IF(U167&gt;W$144,1,0))</f>
        <v>1</v>
      </c>
      <c r="AM167" s="165"/>
      <c r="AN167" s="94">
        <f t="shared" si="10"/>
        <v>1</v>
      </c>
      <c r="AO167" s="94">
        <f t="shared" si="11"/>
        <v>0</v>
      </c>
      <c r="AP167" s="94">
        <f t="shared" si="12"/>
        <v>0</v>
      </c>
      <c r="AQ167" s="96">
        <f t="shared" si="13"/>
        <v>1</v>
      </c>
      <c r="AR167" s="94">
        <f t="shared" si="14"/>
        <v>1</v>
      </c>
      <c r="AS167" s="22"/>
      <c r="AT167" s="22"/>
      <c r="AU167" s="103"/>
    </row>
    <row r="168" spans="2:47" ht="15" customHeight="1" x14ac:dyDescent="0.3">
      <c r="C168" s="173">
        <f>Tables!$F$20</f>
        <v>8.6999999999999993</v>
      </c>
      <c r="D168" s="173"/>
      <c r="G168" s="2" t="str">
        <f>Tables!$D$20</f>
        <v>(50-yr)</v>
      </c>
      <c r="H168" s="2"/>
      <c r="I168" s="175"/>
      <c r="J168" s="175"/>
      <c r="K168" s="175"/>
      <c r="L168" s="6"/>
      <c r="M168" s="175"/>
      <c r="N168" s="175"/>
      <c r="O168" s="175"/>
      <c r="Q168" s="175"/>
      <c r="R168" s="175"/>
      <c r="S168" s="175"/>
      <c r="U168" s="175"/>
      <c r="V168" s="175"/>
      <c r="W168" s="175"/>
      <c r="Y168" s="175"/>
      <c r="Z168" s="175"/>
      <c r="AA168" s="175"/>
      <c r="AG168" s="175"/>
      <c r="AH168" s="175"/>
      <c r="AI168" s="175"/>
      <c r="AL168" s="94">
        <f>IF(ISBLANK(U168),1,IF(U168&gt;W$144,1,0))</f>
        <v>1</v>
      </c>
      <c r="AM168" s="166"/>
      <c r="AN168" s="94">
        <f t="shared" si="10"/>
        <v>1</v>
      </c>
      <c r="AO168" s="94">
        <f t="shared" si="11"/>
        <v>0</v>
      </c>
      <c r="AP168" s="94">
        <f t="shared" si="12"/>
        <v>0</v>
      </c>
      <c r="AQ168" s="96">
        <f t="shared" si="13"/>
        <v>1</v>
      </c>
      <c r="AR168" s="94">
        <f t="shared" si="14"/>
        <v>1</v>
      </c>
      <c r="AS168" s="22"/>
      <c r="AT168" s="22"/>
      <c r="AU168" s="103"/>
    </row>
    <row r="169" spans="2:47" ht="15" customHeight="1" x14ac:dyDescent="0.3">
      <c r="C169" s="173">
        <f>Tables!$F$21</f>
        <v>9.93</v>
      </c>
      <c r="D169" s="173"/>
      <c r="G169" s="2" t="str">
        <f>Tables!$D$21</f>
        <v>(100-yr)</v>
      </c>
      <c r="H169" s="2"/>
      <c r="I169" s="175"/>
      <c r="J169" s="175"/>
      <c r="K169" s="175"/>
      <c r="L169" s="6"/>
      <c r="M169" s="175"/>
      <c r="N169" s="175"/>
      <c r="O169" s="175"/>
      <c r="Q169" s="175"/>
      <c r="R169" s="175"/>
      <c r="S169" s="175"/>
      <c r="U169" s="175"/>
      <c r="V169" s="175"/>
      <c r="W169" s="175"/>
      <c r="Y169" s="175"/>
      <c r="Z169" s="175"/>
      <c r="AA169" s="175"/>
      <c r="AC169" s="174"/>
      <c r="AD169" s="174"/>
      <c r="AE169" s="174"/>
      <c r="AG169" s="175"/>
      <c r="AH169" s="175"/>
      <c r="AI169" s="175"/>
      <c r="AL169" s="98">
        <f>IF(OR(ISBLANK($AF$144),ISBLANK(U169)),0,$AF$144-U169)</f>
        <v>0</v>
      </c>
      <c r="AM169" s="94">
        <f>IF(ISBLANK(AC169),1,IF(AC169&gt;$AM$172,1,0))</f>
        <v>1</v>
      </c>
      <c r="AN169" s="94">
        <f t="shared" si="10"/>
        <v>1</v>
      </c>
      <c r="AO169" s="94">
        <f t="shared" si="11"/>
        <v>0</v>
      </c>
      <c r="AP169" s="94">
        <f t="shared" si="12"/>
        <v>0</v>
      </c>
      <c r="AQ169" s="96">
        <f t="shared" si="13"/>
        <v>1</v>
      </c>
      <c r="AR169" s="94">
        <f t="shared" si="14"/>
        <v>1</v>
      </c>
      <c r="AS169" s="22"/>
      <c r="AT169" s="22"/>
      <c r="AU169" s="103"/>
    </row>
    <row r="170" spans="2:47" ht="15" customHeight="1" x14ac:dyDescent="0.3">
      <c r="I170" s="28" t="s">
        <v>537</v>
      </c>
      <c r="S170" s="28" t="s">
        <v>409</v>
      </c>
      <c r="AC170" s="28" t="s">
        <v>410</v>
      </c>
    </row>
    <row r="171" spans="2:47" ht="15" customHeight="1" x14ac:dyDescent="0.3">
      <c r="B171" s="5" t="s">
        <v>20</v>
      </c>
    </row>
    <row r="172" spans="2:47" ht="15" customHeight="1" x14ac:dyDescent="0.3">
      <c r="B172" s="193"/>
      <c r="C172" s="194"/>
      <c r="D172" s="194"/>
      <c r="E172" s="194"/>
      <c r="F172" s="194"/>
      <c r="G172" s="194"/>
      <c r="H172" s="194"/>
      <c r="I172" s="194"/>
      <c r="J172" s="194"/>
      <c r="K172" s="194"/>
      <c r="L172" s="194"/>
      <c r="M172" s="194"/>
      <c r="N172" s="194"/>
      <c r="O172" s="194"/>
      <c r="P172" s="194"/>
      <c r="Q172" s="194"/>
      <c r="R172" s="194"/>
      <c r="S172" s="194"/>
      <c r="T172" s="194"/>
      <c r="U172" s="194"/>
      <c r="V172" s="194"/>
      <c r="W172" s="194"/>
      <c r="X172" s="194"/>
      <c r="Y172" s="194"/>
      <c r="Z172" s="194"/>
      <c r="AA172" s="194"/>
      <c r="AB172" s="194"/>
      <c r="AC172" s="194"/>
      <c r="AD172" s="194"/>
      <c r="AE172" s="194"/>
      <c r="AF172" s="194"/>
      <c r="AG172" s="194"/>
      <c r="AH172" s="194"/>
      <c r="AI172" s="194"/>
      <c r="AJ172" s="195"/>
      <c r="AL172" s="70" t="s">
        <v>287</v>
      </c>
      <c r="AM172" s="98">
        <f>Tables!F26</f>
        <v>6</v>
      </c>
      <c r="AN172" s="204" t="s">
        <v>395</v>
      </c>
      <c r="AO172" s="205"/>
    </row>
    <row r="173" spans="2:47" ht="15" customHeight="1" x14ac:dyDescent="0.3">
      <c r="B173" s="196"/>
      <c r="C173" s="197"/>
      <c r="D173" s="197"/>
      <c r="E173" s="197"/>
      <c r="F173" s="197"/>
      <c r="G173" s="197"/>
      <c r="H173" s="197"/>
      <c r="I173" s="197"/>
      <c r="J173" s="197"/>
      <c r="K173" s="197"/>
      <c r="L173" s="197"/>
      <c r="M173" s="197"/>
      <c r="N173" s="197"/>
      <c r="O173" s="197"/>
      <c r="P173" s="197"/>
      <c r="Q173" s="197"/>
      <c r="R173" s="197"/>
      <c r="S173" s="197"/>
      <c r="T173" s="197"/>
      <c r="U173" s="197"/>
      <c r="V173" s="197"/>
      <c r="W173" s="197"/>
      <c r="X173" s="197"/>
      <c r="Y173" s="197"/>
      <c r="Z173" s="197"/>
      <c r="AA173" s="197"/>
      <c r="AB173" s="197"/>
      <c r="AC173" s="197"/>
      <c r="AD173" s="197"/>
      <c r="AE173" s="197"/>
      <c r="AF173" s="197"/>
      <c r="AG173" s="197"/>
      <c r="AH173" s="197"/>
      <c r="AI173" s="197"/>
      <c r="AJ173" s="198"/>
      <c r="AN173" s="107" t="s">
        <v>393</v>
      </c>
      <c r="AO173" s="108" t="s">
        <v>140</v>
      </c>
    </row>
    <row r="174" spans="2:47" ht="15" customHeight="1" x14ac:dyDescent="0.3">
      <c r="B174" s="196"/>
      <c r="C174" s="197"/>
      <c r="D174" s="197"/>
      <c r="E174" s="197"/>
      <c r="F174" s="197"/>
      <c r="G174" s="197"/>
      <c r="H174" s="197"/>
      <c r="I174" s="197"/>
      <c r="J174" s="197"/>
      <c r="K174" s="197"/>
      <c r="L174" s="197"/>
      <c r="M174" s="197"/>
      <c r="N174" s="197"/>
      <c r="O174" s="197"/>
      <c r="P174" s="197"/>
      <c r="Q174" s="197"/>
      <c r="R174" s="197"/>
      <c r="S174" s="197"/>
      <c r="T174" s="197"/>
      <c r="U174" s="197"/>
      <c r="V174" s="197"/>
      <c r="W174" s="197"/>
      <c r="X174" s="197"/>
      <c r="Y174" s="197"/>
      <c r="Z174" s="197"/>
      <c r="AA174" s="197"/>
      <c r="AB174" s="197"/>
      <c r="AC174" s="197"/>
      <c r="AD174" s="197"/>
      <c r="AE174" s="197"/>
      <c r="AF174" s="197"/>
      <c r="AG174" s="197"/>
      <c r="AH174" s="197"/>
      <c r="AI174" s="197"/>
      <c r="AJ174" s="198"/>
      <c r="AN174" s="109">
        <v>2</v>
      </c>
      <c r="AO174" s="110">
        <f t="shared" ref="AO174:AO179" si="15">I164</f>
        <v>0</v>
      </c>
    </row>
    <row r="175" spans="2:47" ht="15" customHeight="1" x14ac:dyDescent="0.3">
      <c r="B175" s="196"/>
      <c r="C175" s="197"/>
      <c r="D175" s="197"/>
      <c r="E175" s="197"/>
      <c r="F175" s="197"/>
      <c r="G175" s="197"/>
      <c r="H175" s="197"/>
      <c r="I175" s="197"/>
      <c r="J175" s="197"/>
      <c r="K175" s="197"/>
      <c r="L175" s="197"/>
      <c r="M175" s="197"/>
      <c r="N175" s="197"/>
      <c r="O175" s="197"/>
      <c r="P175" s="197"/>
      <c r="Q175" s="197"/>
      <c r="R175" s="197"/>
      <c r="S175" s="197"/>
      <c r="T175" s="197"/>
      <c r="U175" s="197"/>
      <c r="V175" s="197"/>
      <c r="W175" s="197"/>
      <c r="X175" s="197"/>
      <c r="Y175" s="197"/>
      <c r="Z175" s="197"/>
      <c r="AA175" s="197"/>
      <c r="AB175" s="197"/>
      <c r="AC175" s="197"/>
      <c r="AD175" s="197"/>
      <c r="AE175" s="197"/>
      <c r="AF175" s="197"/>
      <c r="AG175" s="197"/>
      <c r="AH175" s="197"/>
      <c r="AI175" s="197"/>
      <c r="AJ175" s="198"/>
      <c r="AN175" s="109">
        <v>5</v>
      </c>
      <c r="AO175" s="110">
        <f t="shared" si="15"/>
        <v>0</v>
      </c>
    </row>
    <row r="176" spans="2:47" ht="15" customHeight="1" x14ac:dyDescent="0.3">
      <c r="B176" s="196"/>
      <c r="C176" s="197"/>
      <c r="D176" s="197"/>
      <c r="E176" s="197"/>
      <c r="F176" s="197"/>
      <c r="G176" s="197"/>
      <c r="H176" s="197"/>
      <c r="I176" s="197"/>
      <c r="J176" s="197"/>
      <c r="K176" s="197"/>
      <c r="L176" s="197"/>
      <c r="M176" s="197"/>
      <c r="N176" s="197"/>
      <c r="O176" s="197"/>
      <c r="P176" s="197"/>
      <c r="Q176" s="197"/>
      <c r="R176" s="197"/>
      <c r="S176" s="197"/>
      <c r="T176" s="197"/>
      <c r="U176" s="197"/>
      <c r="V176" s="197"/>
      <c r="W176" s="197"/>
      <c r="X176" s="197"/>
      <c r="Y176" s="197"/>
      <c r="Z176" s="197"/>
      <c r="AA176" s="197"/>
      <c r="AB176" s="197"/>
      <c r="AC176" s="197"/>
      <c r="AD176" s="197"/>
      <c r="AE176" s="197"/>
      <c r="AF176" s="197"/>
      <c r="AG176" s="197"/>
      <c r="AH176" s="197"/>
      <c r="AI176" s="197"/>
      <c r="AJ176" s="198"/>
      <c r="AN176" s="109">
        <v>10</v>
      </c>
      <c r="AO176" s="110">
        <f t="shared" si="15"/>
        <v>0</v>
      </c>
    </row>
    <row r="177" spans="2:46" ht="15" customHeight="1" x14ac:dyDescent="0.3">
      <c r="B177" s="196"/>
      <c r="C177" s="197"/>
      <c r="D177" s="197"/>
      <c r="E177" s="197"/>
      <c r="F177" s="197"/>
      <c r="G177" s="197"/>
      <c r="H177" s="197"/>
      <c r="I177" s="197"/>
      <c r="J177" s="197"/>
      <c r="K177" s="197"/>
      <c r="L177" s="197"/>
      <c r="M177" s="197"/>
      <c r="N177" s="197"/>
      <c r="O177" s="197"/>
      <c r="P177" s="197"/>
      <c r="Q177" s="197"/>
      <c r="R177" s="197"/>
      <c r="S177" s="197"/>
      <c r="T177" s="197"/>
      <c r="U177" s="197"/>
      <c r="V177" s="197"/>
      <c r="W177" s="197"/>
      <c r="X177" s="197"/>
      <c r="Y177" s="197"/>
      <c r="Z177" s="197"/>
      <c r="AA177" s="197"/>
      <c r="AB177" s="197"/>
      <c r="AC177" s="197"/>
      <c r="AD177" s="197"/>
      <c r="AE177" s="197"/>
      <c r="AF177" s="197"/>
      <c r="AG177" s="197"/>
      <c r="AH177" s="197"/>
      <c r="AI177" s="197"/>
      <c r="AJ177" s="198"/>
      <c r="AN177" s="109">
        <v>25</v>
      </c>
      <c r="AO177" s="110">
        <f t="shared" si="15"/>
        <v>0</v>
      </c>
    </row>
    <row r="178" spans="2:46" ht="15" customHeight="1" x14ac:dyDescent="0.3">
      <c r="B178" s="199"/>
      <c r="C178" s="200"/>
      <c r="D178" s="200"/>
      <c r="E178" s="200"/>
      <c r="F178" s="200"/>
      <c r="G178" s="200"/>
      <c r="H178" s="200"/>
      <c r="I178" s="200"/>
      <c r="J178" s="200"/>
      <c r="K178" s="200"/>
      <c r="L178" s="200"/>
      <c r="M178" s="200"/>
      <c r="N178" s="200"/>
      <c r="O178" s="200"/>
      <c r="P178" s="200"/>
      <c r="Q178" s="200"/>
      <c r="R178" s="200"/>
      <c r="S178" s="200"/>
      <c r="T178" s="200"/>
      <c r="U178" s="200"/>
      <c r="V178" s="200"/>
      <c r="W178" s="200"/>
      <c r="X178" s="200"/>
      <c r="Y178" s="200"/>
      <c r="Z178" s="200"/>
      <c r="AA178" s="200"/>
      <c r="AB178" s="200"/>
      <c r="AC178" s="200"/>
      <c r="AD178" s="200"/>
      <c r="AE178" s="200"/>
      <c r="AF178" s="200"/>
      <c r="AG178" s="200"/>
      <c r="AH178" s="200"/>
      <c r="AI178" s="200"/>
      <c r="AJ178" s="201"/>
      <c r="AN178" s="109">
        <v>50</v>
      </c>
      <c r="AO178" s="110">
        <f t="shared" si="15"/>
        <v>0</v>
      </c>
      <c r="AR178" s="13" t="s">
        <v>460</v>
      </c>
    </row>
    <row r="179" spans="2:46" ht="15" customHeight="1" x14ac:dyDescent="0.3">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N179" s="111">
        <v>100</v>
      </c>
      <c r="AO179" s="112">
        <f t="shared" si="15"/>
        <v>0</v>
      </c>
      <c r="AR179" s="97">
        <f>IF(AO184="No","2, 5, 10, 25, 50, and 100",IF(R198&gt;0,R198,IF(AT184=0,AP184,IF(AT184=1,AP182,IF(AT184=2,AP184,IF(AT184=3,Tables!F35,""))))))</f>
        <v>25</v>
      </c>
      <c r="AS179" s="98" t="str">
        <f>IF(AO184="No","2, 5, 10, 25, 50, and 100",IF(R198&gt;0,AL198,IF(AT184=0,AS184,IF(AT184=1,AS182,IF(AT184=2,AS184,IF(AT184=3,Tables!F36,""))))))</f>
        <v>25, 50, and 100</v>
      </c>
    </row>
    <row r="180" spans="2:46" ht="15" customHeight="1" x14ac:dyDescent="0.3">
      <c r="B180" s="1" t="s">
        <v>347</v>
      </c>
      <c r="AJ180" s="135">
        <f>IF(ISBLANK(C184),0,IF(AO184="Yes","Detain the "&amp;AS179&amp;"-yr storm events to a "&amp;AR179&amp;"-yr discharge.",""))</f>
        <v>0</v>
      </c>
      <c r="AN180" s="22" t="s">
        <v>140</v>
      </c>
      <c r="AO180" s="22" t="s">
        <v>392</v>
      </c>
      <c r="AP180" s="22" t="s">
        <v>393</v>
      </c>
      <c r="AQ180" s="22" t="s">
        <v>394</v>
      </c>
    </row>
    <row r="181" spans="2:46" ht="4.95" customHeight="1" x14ac:dyDescent="0.3"/>
    <row r="182" spans="2:46" ht="15" customHeight="1" x14ac:dyDescent="0.3">
      <c r="C182" s="161"/>
      <c r="D182" s="28" t="s">
        <v>115</v>
      </c>
      <c r="F182" s="161"/>
      <c r="G182" s="28" t="s">
        <v>116</v>
      </c>
      <c r="I182" s="28" t="s">
        <v>351</v>
      </c>
      <c r="Y182" s="80"/>
      <c r="AL182" s="94">
        <f>IF(AND(ISBLANK(C182),ISBLANK(F182)),1,2)</f>
        <v>1</v>
      </c>
      <c r="AM182" s="94">
        <f>IF(ISBLANK(C182),1,2)</f>
        <v>1</v>
      </c>
      <c r="AN182" s="98">
        <f>IF($AO$182="Yes",IF($AM$182=2,$AQ$182,0),0)</f>
        <v>0</v>
      </c>
      <c r="AO182" s="94" t="str">
        <f>Tables!F29</f>
        <v>No</v>
      </c>
      <c r="AP182" s="97">
        <f>Tables!F30</f>
        <v>25</v>
      </c>
      <c r="AQ182" s="98">
        <f>VLOOKUP(AP182,$AN$174:$AO$179,2)</f>
        <v>0</v>
      </c>
      <c r="AS182" s="97" t="str">
        <f>Tables!F31</f>
        <v>25, 50, and 100</v>
      </c>
      <c r="AT182" s="116"/>
    </row>
    <row r="183" spans="2:46" ht="4.95" customHeight="1" x14ac:dyDescent="0.3"/>
    <row r="184" spans="2:46" ht="15" customHeight="1" x14ac:dyDescent="0.3">
      <c r="C184" s="161"/>
      <c r="D184" s="28" t="s">
        <v>115</v>
      </c>
      <c r="F184" s="161"/>
      <c r="G184" s="28" t="s">
        <v>116</v>
      </c>
      <c r="I184" s="28" t="s">
        <v>352</v>
      </c>
      <c r="Y184" s="80"/>
      <c r="AL184" s="94">
        <f>IF(AND(ISBLANK(C184),ISBLANK(F184)),1,2)</f>
        <v>1</v>
      </c>
      <c r="AM184" s="94">
        <f>IF(ISBLANK(C184),1,2)</f>
        <v>1</v>
      </c>
      <c r="AN184" s="98">
        <f>IF($AO$184="Yes",IF($AM$184=2,$AQ$184,0),0)</f>
        <v>0</v>
      </c>
      <c r="AO184" s="94" t="str">
        <f>Tables!F32</f>
        <v>Yes</v>
      </c>
      <c r="AP184" s="97">
        <f>IF(ISBLANK(R198),Tables!F33,R198)</f>
        <v>25</v>
      </c>
      <c r="AQ184" s="98">
        <f>VLOOKUP(AP184,$AN$174:$AO$179,2)</f>
        <v>0</v>
      </c>
      <c r="AS184" s="98" t="str">
        <f>Tables!F34</f>
        <v>25, 50, and 100</v>
      </c>
      <c r="AT184" s="134">
        <f>IF(AND(ISBLANK(C182),ISBLANK(C184)),0,IF(AND(LEN(C182)&gt;0,ISBLANK(C184)),1,IF(AND(ISBLANK(C182),LEN(C184)&gt;0),2,3)))</f>
        <v>0</v>
      </c>
    </row>
    <row r="185" spans="2:46" ht="4.95" customHeight="1" x14ac:dyDescent="0.3"/>
    <row r="186" spans="2:46" ht="15" customHeight="1" x14ac:dyDescent="0.3">
      <c r="I186" s="161"/>
      <c r="J186" s="28" t="s">
        <v>115</v>
      </c>
      <c r="L186" s="161"/>
      <c r="M186" s="28" t="s">
        <v>116</v>
      </c>
      <c r="O186" s="28" t="s">
        <v>565</v>
      </c>
      <c r="AL186" s="94">
        <f>IF(AND(ISBLANK(I186),ISBLANK(L186)),1,2)</f>
        <v>1</v>
      </c>
      <c r="AM186" s="94">
        <f>IF(ISBLANK(L186),1,2)</f>
        <v>1</v>
      </c>
    </row>
    <row r="187" spans="2:46" ht="4.95" customHeight="1" x14ac:dyDescent="0.3"/>
    <row r="188" spans="2:46" ht="15" customHeight="1" x14ac:dyDescent="0.3">
      <c r="I188" s="161"/>
      <c r="J188" s="28" t="s">
        <v>115</v>
      </c>
      <c r="L188" s="161"/>
      <c r="M188" s="28" t="s">
        <v>116</v>
      </c>
      <c r="O188" s="28" t="s">
        <v>564</v>
      </c>
      <c r="AL188" s="94">
        <f>IF(AND(ISBLANK(I188),ISBLANK(L188)),1,2)</f>
        <v>1</v>
      </c>
      <c r="AM188" s="94">
        <f>IF(ISBLANK(I188),1,2)</f>
        <v>1</v>
      </c>
    </row>
    <row r="189" spans="2:46" ht="4.95" customHeight="1" x14ac:dyDescent="0.3"/>
    <row r="190" spans="2:46" ht="15" customHeight="1" x14ac:dyDescent="0.3">
      <c r="O190" s="161"/>
      <c r="P190" s="28" t="s">
        <v>115</v>
      </c>
      <c r="R190" s="161"/>
      <c r="S190" s="28" t="s">
        <v>116</v>
      </c>
      <c r="U190" s="28" t="s">
        <v>459</v>
      </c>
      <c r="AL190" s="94">
        <f>IF(AND(ISBLANK(O190),ISBLANK(R190)),1,2)</f>
        <v>1</v>
      </c>
      <c r="AM190" s="94">
        <f>IF(ISBLANK(R190),1,2)</f>
        <v>1</v>
      </c>
    </row>
    <row r="191" spans="2:46" ht="4.95" customHeight="1" x14ac:dyDescent="0.3"/>
    <row r="192" spans="2:46" ht="15" customHeight="1" x14ac:dyDescent="0.3">
      <c r="O192" s="161"/>
      <c r="P192" s="28" t="s">
        <v>115</v>
      </c>
      <c r="R192" s="161"/>
      <c r="S192" s="28" t="s">
        <v>116</v>
      </c>
      <c r="U192" s="28" t="s">
        <v>545</v>
      </c>
      <c r="AL192" s="94">
        <f>IF(AND(ISBLANK(O192),ISBLANK(R192)),1,2)</f>
        <v>1</v>
      </c>
      <c r="AM192" s="94">
        <f>IF(ISBLANK(R192),1,2)</f>
        <v>1</v>
      </c>
    </row>
    <row r="193" spans="3:43" ht="4.95" customHeight="1" x14ac:dyDescent="0.3"/>
    <row r="194" spans="3:43" ht="15" customHeight="1" x14ac:dyDescent="0.3">
      <c r="I194" s="161"/>
      <c r="J194" s="28" t="s">
        <v>115</v>
      </c>
      <c r="L194" s="161"/>
      <c r="M194" s="28" t="s">
        <v>116</v>
      </c>
      <c r="O194" s="28" t="str">
        <f>"The "&amp;Tables!$F$23&amp;" will allow a different post release rate design storm."</f>
        <v>The City will allow a different post release rate design storm.</v>
      </c>
      <c r="AL194" s="94">
        <f>IF(AND(ISBLANK(I194),ISBLANK(L194)),1,2)</f>
        <v>1</v>
      </c>
      <c r="AM194" s="94">
        <f>IF(ISBLANK(I194),1,2)</f>
        <v>1</v>
      </c>
    </row>
    <row r="195" spans="3:43" ht="4.95" customHeight="1" x14ac:dyDescent="0.3"/>
    <row r="196" spans="3:43" ht="15" customHeight="1" x14ac:dyDescent="0.3">
      <c r="O196" s="161"/>
      <c r="P196" s="28" t="s">
        <v>115</v>
      </c>
      <c r="R196" s="161"/>
      <c r="S196" s="28" t="s">
        <v>116</v>
      </c>
      <c r="U196" s="28" t="str">
        <f>"Written approval from the "&amp;Tables!$F$23&amp;" is attached?"</f>
        <v>Written approval from the City is attached?</v>
      </c>
      <c r="AL196" s="94">
        <f>IF(AND(ISBLANK(O196),ISBLANK(R196)),1,2)</f>
        <v>1</v>
      </c>
      <c r="AM196" s="94">
        <f>IF(ISBLANK(R196),1,2)</f>
        <v>1</v>
      </c>
    </row>
    <row r="197" spans="3:43" ht="4.95" customHeight="1" x14ac:dyDescent="0.3"/>
    <row r="198" spans="3:43" ht="15" customHeight="1" x14ac:dyDescent="0.3">
      <c r="R198" s="160"/>
      <c r="S198" s="159" t="s">
        <v>505</v>
      </c>
      <c r="U198" s="28" t="str">
        <f>"Post release rate design storm allowed by the "&amp;Tables!$F$23&amp;"."</f>
        <v>Post release rate design storm allowed by the City.</v>
      </c>
      <c r="AL198" s="184">
        <f>IF(ISBLANK(R198),0,VLOOKUP(R198,Storms[],2))</f>
        <v>0</v>
      </c>
      <c r="AM198" s="185"/>
    </row>
    <row r="199" spans="3:43" ht="4.95" customHeight="1" x14ac:dyDescent="0.3"/>
    <row r="200" spans="3:43" ht="15" customHeight="1" x14ac:dyDescent="0.3">
      <c r="C200" s="161"/>
      <c r="D200" s="28" t="s">
        <v>115</v>
      </c>
      <c r="F200" s="161"/>
      <c r="G200" s="28" t="s">
        <v>116</v>
      </c>
      <c r="I200" s="28" t="str">
        <f>"Does the project have "&amp;Tables!F37&amp;" for the adjacent property?"</f>
        <v>Does the project have Release Agreement for the adjacent property?</v>
      </c>
      <c r="AL200" s="94">
        <f>IF(AND(ISBLANK(C200),ISBLANK(F200)),1,2)</f>
        <v>1</v>
      </c>
      <c r="AM200" s="94">
        <f>IF(ISBLANK(F200),1,2)</f>
        <v>1</v>
      </c>
      <c r="AN200" s="94">
        <f>IF(ISBLANK(C200),1,2)</f>
        <v>1</v>
      </c>
      <c r="AO200" s="94">
        <f>IF(ISBLANK(C182),0,2)</f>
        <v>0</v>
      </c>
      <c r="AP200" s="94">
        <f>IF(ISBLANK(C184),0,2)</f>
        <v>0</v>
      </c>
      <c r="AQ200" s="94">
        <f>IF(ISBLANK(F200),0,SUM(AO200:AP200))</f>
        <v>0</v>
      </c>
    </row>
    <row r="201" spans="3:43" ht="4.95" customHeight="1" x14ac:dyDescent="0.3"/>
    <row r="202" spans="3:43" ht="15" customHeight="1" x14ac:dyDescent="0.3">
      <c r="C202" s="161"/>
      <c r="D202" s="28" t="s">
        <v>115</v>
      </c>
      <c r="F202" s="161"/>
      <c r="G202" s="28" t="s">
        <v>116</v>
      </c>
      <c r="I202" s="28" t="s">
        <v>382</v>
      </c>
      <c r="AL202" s="94">
        <f>IF(AND(ISBLANK(C202),ISBLANK(F202)),1,2)</f>
        <v>1</v>
      </c>
      <c r="AM202" s="94">
        <f>IF(ISBLANK(F202),1,2)</f>
        <v>1</v>
      </c>
    </row>
    <row r="203" spans="3:43" ht="4.95" customHeight="1" x14ac:dyDescent="0.3"/>
    <row r="204" spans="3:43" ht="15" customHeight="1" x14ac:dyDescent="0.3">
      <c r="C204" s="161"/>
      <c r="D204" s="28" t="s">
        <v>115</v>
      </c>
      <c r="F204" s="161"/>
      <c r="G204" s="28" t="s">
        <v>116</v>
      </c>
      <c r="I204" s="28" t="s">
        <v>383</v>
      </c>
      <c r="J204" s="4"/>
      <c r="K204" s="4"/>
      <c r="L204" s="4"/>
      <c r="AL204" s="94">
        <f>IF(AND(ISBLANK(C204),ISBLANK(F204)),1,2)</f>
        <v>1</v>
      </c>
      <c r="AM204" s="94">
        <f>IF(ISBLANK(C204),1,2)</f>
        <v>1</v>
      </c>
    </row>
    <row r="205" spans="3:43" ht="4.95" customHeight="1" x14ac:dyDescent="0.3">
      <c r="C205" s="4"/>
      <c r="D205" s="4"/>
      <c r="E205" s="4"/>
      <c r="F205" s="4"/>
      <c r="G205" s="4"/>
      <c r="H205" s="4"/>
      <c r="I205" s="4"/>
      <c r="J205" s="4"/>
      <c r="K205" s="4"/>
      <c r="L205" s="4"/>
    </row>
    <row r="206" spans="3:43" ht="15" customHeight="1" x14ac:dyDescent="0.3">
      <c r="I206" s="161"/>
      <c r="J206" s="28" t="s">
        <v>115</v>
      </c>
      <c r="L206" s="161"/>
      <c r="M206" s="28" t="s">
        <v>116</v>
      </c>
      <c r="N206" s="4"/>
      <c r="O206" s="28" t="s">
        <v>384</v>
      </c>
      <c r="AL206" s="94">
        <f>IF(ISBLANK(I206),1,2)</f>
        <v>1</v>
      </c>
      <c r="AM206" s="94">
        <f>IF(ISBLANK(L206),1,2)</f>
        <v>1</v>
      </c>
      <c r="AN206" s="94">
        <f>SUM(AL206:AM206)</f>
        <v>2</v>
      </c>
      <c r="AO206" s="22"/>
      <c r="AP206" s="22"/>
    </row>
    <row r="207" spans="3:43" ht="4.95" customHeight="1" x14ac:dyDescent="0.3"/>
    <row r="208" spans="3:43" ht="15" customHeight="1" x14ac:dyDescent="0.3">
      <c r="C208" s="161"/>
      <c r="D208" s="28" t="s">
        <v>115</v>
      </c>
      <c r="F208" s="161"/>
      <c r="G208" s="28" t="s">
        <v>116</v>
      </c>
      <c r="I208" s="28" t="s">
        <v>539</v>
      </c>
      <c r="J208" s="4"/>
      <c r="K208" s="4"/>
      <c r="L208" s="4"/>
      <c r="AL208" s="94">
        <f>IF(AND(ISBLANK(C208),ISBLANK(F208)),1,2)</f>
        <v>1</v>
      </c>
      <c r="AM208" s="94">
        <f>IF(ISBLANK(C208),1,2)</f>
        <v>1</v>
      </c>
    </row>
    <row r="209" spans="2:36" ht="15" customHeight="1" x14ac:dyDescent="0.3">
      <c r="I209" s="28" t="str">
        <f>IF(AND(AM208=2,Tables!$F$14="Prattville"),"The City shall waive the Permit Application Review Fee","")</f>
        <v/>
      </c>
    </row>
    <row r="210" spans="2:36" ht="15" customHeight="1" x14ac:dyDescent="0.3"/>
    <row r="211" spans="2:36" ht="15" customHeight="1" x14ac:dyDescent="0.3"/>
    <row r="212" spans="2:36" ht="15" customHeight="1" x14ac:dyDescent="0.3">
      <c r="B212" s="203">
        <f>Tables!$F$13</f>
        <v>46266</v>
      </c>
      <c r="C212" s="203"/>
      <c r="D212" s="203"/>
      <c r="E212" s="203"/>
      <c r="F212" s="203"/>
      <c r="G212" s="203"/>
      <c r="H212" s="203"/>
      <c r="R212" s="178" t="s">
        <v>297</v>
      </c>
      <c r="S212" s="178"/>
      <c r="T212" s="178"/>
      <c r="U212" s="178"/>
    </row>
    <row r="213" spans="2:36" ht="15" customHeight="1" x14ac:dyDescent="0.3">
      <c r="C213" s="2" t="s">
        <v>1</v>
      </c>
      <c r="D213" s="188">
        <f>IF(ISBLANK($E$7),0,$E$7)</f>
        <v>0</v>
      </c>
      <c r="E213" s="188"/>
      <c r="F213" s="188"/>
      <c r="G213" s="188"/>
      <c r="H213" s="188"/>
      <c r="I213" s="188"/>
      <c r="J213" s="188"/>
      <c r="K213" s="188"/>
      <c r="L213" s="188"/>
      <c r="M213" s="188"/>
      <c r="N213" s="188"/>
      <c r="O213" s="188"/>
      <c r="P213" s="188"/>
      <c r="Q213" s="188"/>
      <c r="R213" s="188"/>
      <c r="S213" s="188"/>
      <c r="T213" s="188"/>
      <c r="U213" s="188"/>
      <c r="V213" s="188"/>
      <c r="W213" s="188"/>
      <c r="X213" s="188"/>
      <c r="Y213" s="188"/>
      <c r="Z213" s="39"/>
      <c r="AD213" s="2" t="s">
        <v>19</v>
      </c>
      <c r="AE213" s="186">
        <f>IF(ISBLANK($AE$7),0,$AE$7)</f>
        <v>0</v>
      </c>
      <c r="AF213" s="186"/>
      <c r="AG213" s="186"/>
      <c r="AH213" s="186"/>
      <c r="AI213" s="186"/>
      <c r="AJ213" s="186"/>
    </row>
    <row r="214" spans="2:36" ht="15" customHeight="1" x14ac:dyDescent="0.3">
      <c r="C214" s="40"/>
      <c r="D214" s="40"/>
      <c r="E214" s="40"/>
      <c r="F214" s="40"/>
      <c r="G214" s="40"/>
      <c r="H214" s="40"/>
      <c r="I214" s="40"/>
      <c r="J214" s="2"/>
      <c r="K214" s="2"/>
      <c r="L214" s="2"/>
      <c r="M214" s="2"/>
      <c r="N214" s="40"/>
      <c r="O214" s="39"/>
      <c r="P214" s="39"/>
      <c r="Q214" s="39"/>
      <c r="R214" s="39"/>
      <c r="S214" s="39"/>
      <c r="T214" s="39"/>
      <c r="U214" s="39"/>
      <c r="V214" s="39"/>
      <c r="W214" s="39"/>
      <c r="X214" s="39"/>
      <c r="Y214" s="39"/>
      <c r="Z214" s="39"/>
      <c r="AD214" s="2" t="s">
        <v>32</v>
      </c>
      <c r="AE214" s="187">
        <f>IF(ISBLANK($AE$8),0,$AE$8)</f>
        <v>0</v>
      </c>
      <c r="AF214" s="187"/>
      <c r="AG214" s="187"/>
      <c r="AH214" s="187"/>
      <c r="AI214" s="187"/>
      <c r="AJ214" s="187"/>
    </row>
    <row r="215" spans="2:36" ht="15" customHeight="1" x14ac:dyDescent="0.3">
      <c r="B215" s="1" t="s">
        <v>17</v>
      </c>
      <c r="C215" s="1"/>
      <c r="D215" s="1"/>
      <c r="E215" s="1"/>
      <c r="F215" s="1"/>
      <c r="G215" s="1"/>
      <c r="H215" s="1"/>
      <c r="I215" s="1"/>
    </row>
    <row r="216" spans="2:36" ht="15" customHeight="1" x14ac:dyDescent="0.3">
      <c r="B216" s="84" t="s">
        <v>260</v>
      </c>
      <c r="C216" s="60"/>
      <c r="D216" s="60"/>
      <c r="E216" s="60"/>
      <c r="F216" s="60"/>
      <c r="G216" s="60"/>
      <c r="H216" s="60"/>
      <c r="I216" s="60"/>
      <c r="J216" s="60"/>
      <c r="K216" s="60"/>
      <c r="L216" s="60"/>
      <c r="M216" s="60"/>
      <c r="N216" s="60"/>
      <c r="O216" s="60"/>
      <c r="P216" s="60"/>
      <c r="Q216" s="60"/>
      <c r="R216" s="60"/>
      <c r="S216" s="60"/>
      <c r="T216" s="60"/>
      <c r="U216" s="60"/>
      <c r="V216" s="60"/>
      <c r="W216" s="60"/>
      <c r="X216" s="60"/>
      <c r="Y216" s="60"/>
      <c r="Z216" s="60"/>
      <c r="AA216" s="60"/>
      <c r="AB216" s="60"/>
      <c r="AC216" s="60"/>
      <c r="AD216" s="60"/>
      <c r="AE216" s="60"/>
      <c r="AF216" s="60"/>
      <c r="AG216" s="60"/>
      <c r="AH216" s="60"/>
      <c r="AI216" s="60"/>
    </row>
    <row r="217" spans="2:36" ht="15" customHeight="1" x14ac:dyDescent="0.3">
      <c r="B217" s="60"/>
      <c r="C217" s="29" t="s">
        <v>105</v>
      </c>
      <c r="D217" s="84" t="str">
        <f>"Is designed in accordance with the latest version of the "&amp;Tables!F23&amp;"'s requirements;"</f>
        <v>Is designed in accordance with the latest version of the City's requirements;</v>
      </c>
      <c r="E217" s="60"/>
      <c r="F217" s="60"/>
      <c r="G217" s="60"/>
      <c r="H217" s="60"/>
      <c r="I217" s="60"/>
      <c r="J217" s="60"/>
      <c r="K217" s="60"/>
      <c r="L217" s="60"/>
      <c r="M217" s="60"/>
      <c r="N217" s="60"/>
      <c r="O217" s="60"/>
      <c r="P217" s="60"/>
      <c r="Q217" s="60"/>
      <c r="R217" s="60"/>
      <c r="S217" s="60"/>
      <c r="T217" s="60"/>
      <c r="U217" s="60"/>
      <c r="V217" s="60"/>
      <c r="W217" s="60"/>
      <c r="X217" s="60"/>
      <c r="Y217" s="60"/>
      <c r="Z217" s="60"/>
      <c r="AA217" s="60"/>
      <c r="AB217" s="60"/>
      <c r="AC217" s="60"/>
      <c r="AD217" s="60"/>
      <c r="AE217" s="60"/>
      <c r="AF217" s="60"/>
      <c r="AG217" s="60"/>
      <c r="AH217" s="60"/>
      <c r="AI217" s="60"/>
    </row>
    <row r="218" spans="2:36" ht="15" customHeight="1" x14ac:dyDescent="0.3">
      <c r="B218" s="60"/>
      <c r="C218" s="29" t="s">
        <v>105</v>
      </c>
      <c r="D218" s="84" t="s">
        <v>258</v>
      </c>
      <c r="E218" s="60"/>
      <c r="F218" s="60"/>
      <c r="G218" s="60"/>
      <c r="H218" s="60"/>
      <c r="I218" s="60"/>
      <c r="J218" s="60"/>
      <c r="K218" s="60"/>
      <c r="L218" s="60"/>
      <c r="M218" s="60"/>
      <c r="N218" s="60"/>
      <c r="O218" s="60"/>
      <c r="P218" s="60"/>
      <c r="Q218" s="60"/>
      <c r="R218" s="60"/>
      <c r="S218" s="60"/>
      <c r="T218" s="60"/>
      <c r="U218" s="60"/>
      <c r="V218" s="60"/>
      <c r="W218" s="60"/>
      <c r="X218" s="60"/>
      <c r="Y218" s="60"/>
      <c r="Z218" s="60"/>
      <c r="AA218" s="60"/>
      <c r="AB218" s="60"/>
      <c r="AC218" s="60"/>
      <c r="AD218" s="60"/>
      <c r="AE218" s="60"/>
      <c r="AF218" s="60"/>
      <c r="AG218" s="60"/>
      <c r="AH218" s="60"/>
      <c r="AI218" s="60"/>
    </row>
    <row r="219" spans="2:36" ht="15" customHeight="1" x14ac:dyDescent="0.3">
      <c r="B219" s="60"/>
      <c r="C219" s="29" t="s">
        <v>105</v>
      </c>
      <c r="D219" s="84" t="s">
        <v>433</v>
      </c>
      <c r="E219" s="84"/>
      <c r="F219" s="84"/>
      <c r="G219" s="84"/>
      <c r="H219" s="84"/>
      <c r="I219" s="84"/>
      <c r="J219" s="84"/>
      <c r="K219" s="84"/>
      <c r="L219" s="84"/>
      <c r="M219" s="84"/>
      <c r="N219" s="84"/>
      <c r="O219" s="84"/>
      <c r="P219" s="84"/>
      <c r="Q219" s="84"/>
      <c r="R219" s="84"/>
      <c r="S219" s="84"/>
      <c r="T219" s="84"/>
      <c r="U219" s="84"/>
      <c r="V219" s="84"/>
      <c r="W219" s="84"/>
      <c r="X219" s="84"/>
      <c r="Y219" s="84"/>
      <c r="Z219" s="84"/>
      <c r="AA219" s="84"/>
      <c r="AB219" s="84"/>
      <c r="AC219" s="84"/>
      <c r="AD219" s="84"/>
      <c r="AE219" s="84"/>
      <c r="AF219" s="84"/>
      <c r="AG219" s="84"/>
      <c r="AH219" s="84"/>
      <c r="AI219" s="84"/>
    </row>
    <row r="220" spans="2:36" ht="15" customHeight="1" x14ac:dyDescent="0.3">
      <c r="B220" s="60"/>
      <c r="C220" s="29"/>
      <c r="D220" s="84" t="s">
        <v>434</v>
      </c>
      <c r="E220" s="84"/>
      <c r="F220" s="84"/>
      <c r="G220" s="84"/>
      <c r="H220" s="84"/>
      <c r="I220" s="84"/>
      <c r="J220" s="84"/>
      <c r="K220" s="84"/>
      <c r="L220" s="84"/>
      <c r="M220" s="84"/>
      <c r="N220" s="84"/>
      <c r="O220" s="84"/>
      <c r="P220" s="84"/>
      <c r="Q220" s="84"/>
      <c r="R220" s="84"/>
      <c r="S220" s="84"/>
      <c r="T220" s="84"/>
      <c r="U220" s="84"/>
      <c r="V220" s="84"/>
      <c r="W220" s="84"/>
      <c r="X220" s="84"/>
      <c r="Y220" s="84"/>
      <c r="Z220" s="84"/>
      <c r="AA220" s="84"/>
      <c r="AB220" s="84"/>
      <c r="AC220" s="84"/>
      <c r="AD220" s="84"/>
      <c r="AE220" s="84"/>
      <c r="AF220" s="84"/>
      <c r="AG220" s="84"/>
      <c r="AH220" s="84"/>
      <c r="AI220" s="84"/>
    </row>
    <row r="221" spans="2:36" ht="15" customHeight="1" x14ac:dyDescent="0.3">
      <c r="B221" s="60"/>
      <c r="C221" s="29" t="s">
        <v>105</v>
      </c>
      <c r="D221" s="84" t="s">
        <v>269</v>
      </c>
      <c r="E221" s="84"/>
      <c r="F221" s="84"/>
      <c r="G221" s="84"/>
      <c r="H221" s="84"/>
      <c r="I221" s="84"/>
      <c r="J221" s="84"/>
      <c r="K221" s="84"/>
      <c r="L221" s="84"/>
      <c r="M221" s="84"/>
      <c r="N221" s="84"/>
      <c r="O221" s="84"/>
      <c r="P221" s="84"/>
      <c r="Q221" s="84"/>
      <c r="R221" s="84"/>
      <c r="S221" s="84"/>
      <c r="T221" s="84"/>
      <c r="U221" s="84"/>
      <c r="V221" s="84"/>
      <c r="W221" s="84"/>
      <c r="X221" s="84"/>
      <c r="Y221" s="84"/>
      <c r="Z221" s="84"/>
      <c r="AA221" s="84"/>
      <c r="AB221" s="84"/>
      <c r="AC221" s="84"/>
      <c r="AD221" s="84"/>
      <c r="AE221" s="84"/>
      <c r="AF221" s="84"/>
      <c r="AG221" s="84"/>
      <c r="AH221" s="84"/>
      <c r="AI221" s="84"/>
    </row>
    <row r="222" spans="2:36" ht="15" customHeight="1" x14ac:dyDescent="0.3">
      <c r="B222" s="60"/>
      <c r="C222" s="29"/>
      <c r="D222" s="84" t="s">
        <v>270</v>
      </c>
      <c r="E222" s="84"/>
      <c r="F222" s="84"/>
      <c r="G222" s="84"/>
      <c r="H222" s="84"/>
      <c r="I222" s="84"/>
      <c r="J222" s="84"/>
      <c r="K222" s="84"/>
      <c r="L222" s="84"/>
      <c r="M222" s="84"/>
      <c r="N222" s="84"/>
      <c r="O222" s="84"/>
      <c r="P222" s="84"/>
      <c r="Q222" s="84"/>
      <c r="R222" s="84"/>
      <c r="S222" s="84"/>
      <c r="T222" s="84"/>
      <c r="U222" s="84"/>
      <c r="V222" s="84"/>
      <c r="W222" s="84"/>
      <c r="X222" s="84"/>
      <c r="Y222" s="84"/>
      <c r="Z222" s="84"/>
      <c r="AA222" s="84"/>
      <c r="AB222" s="84"/>
      <c r="AC222" s="84"/>
      <c r="AD222" s="84"/>
      <c r="AE222" s="84"/>
      <c r="AF222" s="84"/>
      <c r="AG222" s="84"/>
      <c r="AH222" s="84"/>
      <c r="AI222" s="84"/>
    </row>
    <row r="223" spans="2:36" ht="15" customHeight="1" x14ac:dyDescent="0.3">
      <c r="B223" s="60"/>
      <c r="C223" s="29" t="s">
        <v>105</v>
      </c>
      <c r="D223" s="84" t="s">
        <v>259</v>
      </c>
      <c r="E223" s="60"/>
      <c r="F223" s="60"/>
      <c r="G223" s="60"/>
      <c r="H223" s="60"/>
      <c r="I223" s="60"/>
      <c r="J223" s="60"/>
      <c r="K223" s="60"/>
      <c r="L223" s="60"/>
      <c r="M223" s="60"/>
      <c r="N223" s="60"/>
      <c r="O223" s="60"/>
      <c r="P223" s="60"/>
      <c r="Q223" s="60"/>
      <c r="R223" s="60"/>
      <c r="S223" s="60"/>
      <c r="T223" s="60"/>
      <c r="U223" s="60"/>
      <c r="V223" s="60"/>
      <c r="W223" s="60"/>
      <c r="X223" s="60"/>
      <c r="Y223" s="60"/>
      <c r="Z223" s="60"/>
      <c r="AA223" s="60"/>
      <c r="AB223" s="60"/>
      <c r="AC223" s="60"/>
      <c r="AD223" s="60"/>
      <c r="AE223" s="60"/>
      <c r="AF223" s="60"/>
      <c r="AG223" s="60"/>
      <c r="AH223" s="60"/>
      <c r="AI223" s="60"/>
    </row>
    <row r="224" spans="2:36" ht="15" customHeight="1" x14ac:dyDescent="0.3">
      <c r="B224" s="60"/>
      <c r="C224" s="29"/>
      <c r="D224" s="84"/>
      <c r="E224" s="60"/>
      <c r="F224" s="60"/>
      <c r="G224" s="60"/>
      <c r="H224" s="60"/>
      <c r="I224" s="60"/>
      <c r="J224" s="60"/>
      <c r="K224" s="60"/>
      <c r="L224" s="60"/>
      <c r="M224" s="60"/>
      <c r="N224" s="60"/>
      <c r="O224" s="60"/>
      <c r="P224" s="60"/>
      <c r="Q224" s="60"/>
      <c r="R224" s="60"/>
      <c r="S224" s="60"/>
      <c r="T224" s="60"/>
      <c r="U224" s="60"/>
      <c r="V224" s="60"/>
      <c r="W224" s="60"/>
      <c r="X224" s="60"/>
      <c r="Y224" s="60"/>
      <c r="Z224" s="60"/>
      <c r="AA224" s="60"/>
      <c r="AB224" s="60"/>
      <c r="AC224" s="60"/>
      <c r="AD224" s="60"/>
      <c r="AE224" s="60"/>
      <c r="AF224" s="60"/>
      <c r="AG224" s="60"/>
      <c r="AH224" s="60"/>
      <c r="AI224" s="60"/>
    </row>
    <row r="225" spans="2:38" ht="15" customHeight="1" x14ac:dyDescent="0.3">
      <c r="B225" s="60"/>
      <c r="C225" s="29"/>
      <c r="D225" s="84"/>
      <c r="E225" s="2" t="s">
        <v>167</v>
      </c>
      <c r="F225" s="206"/>
      <c r="G225" s="206"/>
      <c r="H225" s="206"/>
      <c r="I225" s="206"/>
      <c r="J225" s="206"/>
      <c r="K225" s="206"/>
      <c r="L225" s="206"/>
      <c r="M225" s="206"/>
      <c r="N225" s="206"/>
      <c r="O225" s="206"/>
      <c r="P225" s="206"/>
      <c r="Q225" s="206"/>
      <c r="R225" s="206"/>
      <c r="S225" s="206"/>
      <c r="T225" s="206"/>
      <c r="U225" s="206"/>
      <c r="V225" s="206"/>
      <c r="W225" s="206"/>
      <c r="X225" s="206"/>
      <c r="Y225" s="206"/>
      <c r="Z225" s="206"/>
      <c r="AC225" s="2" t="s">
        <v>306</v>
      </c>
      <c r="AD225" s="2"/>
      <c r="AE225" s="2"/>
      <c r="AF225" s="2"/>
    </row>
    <row r="226" spans="2:38" ht="15" customHeight="1" x14ac:dyDescent="0.3">
      <c r="E226" s="2" t="s">
        <v>124</v>
      </c>
      <c r="F226" s="202"/>
      <c r="G226" s="202"/>
      <c r="H226" s="202"/>
      <c r="I226" s="202"/>
      <c r="J226" s="202"/>
      <c r="K226" s="202"/>
      <c r="L226" s="202"/>
      <c r="M226" s="202"/>
      <c r="N226" s="202"/>
      <c r="O226" s="202"/>
      <c r="P226" s="202"/>
      <c r="Q226" s="202"/>
      <c r="R226" s="202"/>
      <c r="S226" s="202"/>
      <c r="T226" s="202"/>
      <c r="U226" s="202"/>
      <c r="V226" s="202"/>
      <c r="W226" s="202"/>
      <c r="X226" s="202"/>
      <c r="Y226" s="202"/>
      <c r="Z226" s="202"/>
    </row>
    <row r="227" spans="2:38" ht="15" customHeight="1" x14ac:dyDescent="0.3">
      <c r="E227" s="2" t="s">
        <v>125</v>
      </c>
      <c r="F227" s="202"/>
      <c r="G227" s="202"/>
      <c r="H227" s="202"/>
      <c r="I227" s="202"/>
      <c r="J227" s="202"/>
      <c r="K227" s="202"/>
      <c r="L227" s="202"/>
      <c r="M227" s="202"/>
      <c r="N227" s="202"/>
      <c r="O227" s="202"/>
      <c r="P227" s="202"/>
      <c r="Q227" s="202"/>
      <c r="R227" s="202"/>
      <c r="S227" s="202"/>
      <c r="T227" s="202"/>
      <c r="U227" s="202"/>
      <c r="V227" s="202"/>
      <c r="W227" s="202"/>
      <c r="X227" s="202"/>
      <c r="Y227" s="202"/>
      <c r="Z227" s="202"/>
    </row>
    <row r="228" spans="2:38" ht="15" customHeight="1" x14ac:dyDescent="0.3">
      <c r="E228" s="2" t="s">
        <v>304</v>
      </c>
      <c r="F228" s="202"/>
      <c r="G228" s="202"/>
      <c r="H228" s="202"/>
      <c r="I228" s="202"/>
      <c r="J228" s="202"/>
      <c r="K228" s="202"/>
      <c r="L228" s="202"/>
      <c r="M228" s="67"/>
      <c r="N228" s="67"/>
      <c r="O228" s="100" t="s">
        <v>128</v>
      </c>
      <c r="P228" s="202"/>
      <c r="Q228" s="202"/>
      <c r="R228" s="202"/>
      <c r="S228" s="202"/>
      <c r="T228" s="67"/>
      <c r="U228" s="67"/>
      <c r="V228" s="67"/>
      <c r="W228" s="100" t="s">
        <v>129</v>
      </c>
      <c r="X228" s="212"/>
      <c r="Y228" s="212"/>
      <c r="Z228" s="212"/>
    </row>
    <row r="229" spans="2:38" ht="15" customHeight="1" x14ac:dyDescent="0.3">
      <c r="E229" s="2" t="s">
        <v>126</v>
      </c>
      <c r="F229" s="218"/>
      <c r="G229" s="218"/>
      <c r="H229" s="218"/>
      <c r="I229" s="218"/>
      <c r="J229" s="218"/>
      <c r="K229" s="218"/>
      <c r="L229" s="218"/>
      <c r="M229" s="218"/>
      <c r="N229" s="218"/>
      <c r="O229" s="218"/>
      <c r="P229" s="218"/>
      <c r="Q229" s="218"/>
      <c r="R229" s="218"/>
      <c r="S229" s="218"/>
      <c r="T229" s="218"/>
      <c r="U229" s="218"/>
      <c r="V229" s="218"/>
      <c r="W229" s="218"/>
      <c r="X229" s="218"/>
      <c r="Y229" s="218"/>
      <c r="Z229" s="218"/>
    </row>
    <row r="230" spans="2:38" ht="15" customHeight="1" x14ac:dyDescent="0.3">
      <c r="E230" s="2" t="s">
        <v>130</v>
      </c>
      <c r="F230" s="192"/>
      <c r="G230" s="192"/>
      <c r="H230" s="192"/>
      <c r="I230" s="192"/>
      <c r="J230" s="192"/>
      <c r="V230" s="60"/>
      <c r="W230" s="60"/>
      <c r="X230" s="60"/>
    </row>
    <row r="231" spans="2:38" ht="15" customHeight="1" x14ac:dyDescent="0.3">
      <c r="E231" s="2"/>
      <c r="F231" s="67"/>
      <c r="G231" s="67"/>
      <c r="H231" s="67"/>
      <c r="I231" s="67"/>
      <c r="J231" s="67"/>
      <c r="V231" s="60"/>
      <c r="W231" s="60"/>
      <c r="X231" s="60"/>
    </row>
    <row r="232" spans="2:38" ht="15" customHeight="1" x14ac:dyDescent="0.3">
      <c r="E232" s="2" t="s">
        <v>168</v>
      </c>
      <c r="F232" s="86"/>
      <c r="G232" s="86"/>
      <c r="H232" s="86"/>
      <c r="I232" s="86"/>
      <c r="J232" s="86"/>
      <c r="K232" s="86"/>
      <c r="L232" s="86"/>
      <c r="M232" s="86"/>
      <c r="N232" s="86"/>
      <c r="O232" s="86"/>
      <c r="P232" s="86"/>
      <c r="Q232" s="86"/>
      <c r="R232" s="86"/>
      <c r="S232" s="86"/>
      <c r="T232" s="86"/>
      <c r="U232" s="86"/>
      <c r="V232" s="60"/>
      <c r="W232" s="60"/>
      <c r="X232" s="60"/>
      <c r="AC232" s="2" t="s">
        <v>166</v>
      </c>
      <c r="AD232" s="211"/>
      <c r="AE232" s="211"/>
      <c r="AF232" s="211"/>
      <c r="AG232" s="211"/>
      <c r="AH232" s="211"/>
    </row>
    <row r="233" spans="2:38" ht="15" customHeight="1" x14ac:dyDescent="0.3"/>
    <row r="234" spans="2:38" ht="15" customHeight="1" x14ac:dyDescent="0.3">
      <c r="B234" s="43" t="s">
        <v>84</v>
      </c>
      <c r="C234" s="44"/>
      <c r="D234" s="44"/>
      <c r="E234" s="44"/>
      <c r="F234" s="44"/>
      <c r="G234" s="44"/>
      <c r="H234" s="44"/>
      <c r="I234" s="44"/>
      <c r="J234" s="44"/>
      <c r="K234" s="44"/>
      <c r="L234" s="44"/>
      <c r="M234" s="44"/>
      <c r="N234" s="44"/>
      <c r="O234" s="44"/>
      <c r="P234" s="44"/>
      <c r="Q234" s="44"/>
      <c r="R234" s="44"/>
      <c r="S234" s="44"/>
      <c r="T234" s="44"/>
      <c r="U234" s="44"/>
      <c r="V234" s="44"/>
      <c r="W234" s="44"/>
      <c r="X234" s="44"/>
      <c r="Y234" s="44"/>
      <c r="Z234" s="44"/>
      <c r="AA234" s="44"/>
      <c r="AB234" s="44"/>
      <c r="AC234" s="44"/>
      <c r="AD234" s="44"/>
      <c r="AE234" s="44"/>
      <c r="AF234" s="44"/>
      <c r="AG234" s="44"/>
      <c r="AH234" s="44"/>
      <c r="AI234" s="44"/>
      <c r="AJ234" s="45"/>
      <c r="AL234" s="13" t="s">
        <v>281</v>
      </c>
    </row>
    <row r="235" spans="2:38" ht="15" customHeight="1" x14ac:dyDescent="0.3">
      <c r="B235" s="46"/>
      <c r="C235" s="8"/>
      <c r="D235" s="8"/>
      <c r="E235" s="8"/>
      <c r="F235" s="8"/>
      <c r="G235" s="8"/>
      <c r="H235" s="8"/>
      <c r="I235" s="8"/>
      <c r="J235" s="47" t="s">
        <v>85</v>
      </c>
      <c r="K235" s="47"/>
      <c r="L235" s="48" t="s">
        <v>181</v>
      </c>
      <c r="M235" s="47"/>
      <c r="N235" s="47"/>
      <c r="O235" s="47"/>
      <c r="P235" s="48"/>
      <c r="Q235" s="8"/>
      <c r="R235" s="8"/>
      <c r="S235" s="8"/>
      <c r="T235" s="8"/>
      <c r="U235" s="8"/>
      <c r="V235" s="8"/>
      <c r="W235" s="8"/>
      <c r="X235" s="8"/>
      <c r="Y235" s="8"/>
      <c r="Z235" s="8"/>
      <c r="AA235" s="8"/>
      <c r="AB235" s="8"/>
      <c r="AC235" s="8"/>
      <c r="AD235" s="8"/>
      <c r="AE235" s="8"/>
      <c r="AF235" s="8"/>
      <c r="AG235" s="8"/>
      <c r="AH235" s="8"/>
      <c r="AI235" s="8"/>
      <c r="AJ235" s="49"/>
      <c r="AL235" s="94">
        <f>SUM(AL237:AL253)</f>
        <v>15</v>
      </c>
    </row>
    <row r="236" spans="2:38" ht="15" customHeight="1" x14ac:dyDescent="0.3">
      <c r="B236" s="46"/>
      <c r="C236" s="8"/>
      <c r="D236" s="8"/>
      <c r="E236" s="8"/>
      <c r="F236" s="8"/>
      <c r="G236" s="8"/>
      <c r="H236" s="8"/>
      <c r="I236" s="8"/>
      <c r="J236" s="9" t="s">
        <v>425</v>
      </c>
      <c r="K236" s="9"/>
      <c r="L236" s="8" t="str">
        <f>IF(ISBLANK(AC6),Tables!J19,"")</f>
        <v>Parcel No. has not been provided</v>
      </c>
      <c r="M236" s="47"/>
      <c r="N236" s="47"/>
      <c r="O236" s="47"/>
      <c r="P236" s="48"/>
      <c r="Q236" s="8"/>
      <c r="R236" s="8"/>
      <c r="S236" s="8"/>
      <c r="T236" s="8"/>
      <c r="U236" s="8"/>
      <c r="V236" s="8"/>
      <c r="W236" s="8"/>
      <c r="X236" s="8"/>
      <c r="Y236" s="8"/>
      <c r="Z236" s="8"/>
      <c r="AA236" s="8"/>
      <c r="AB236" s="8"/>
      <c r="AC236" s="8"/>
      <c r="AD236" s="8"/>
      <c r="AE236" s="8"/>
      <c r="AF236" s="8"/>
      <c r="AG236" s="8"/>
      <c r="AH236" s="8"/>
      <c r="AI236" s="8"/>
      <c r="AJ236" s="49"/>
      <c r="AL236" s="94">
        <f>IF(L236="",0,1)</f>
        <v>1</v>
      </c>
    </row>
    <row r="237" spans="2:38" ht="15" customHeight="1" x14ac:dyDescent="0.3">
      <c r="B237" s="46"/>
      <c r="C237" s="8"/>
      <c r="D237" s="8"/>
      <c r="E237" s="8"/>
      <c r="F237" s="8"/>
      <c r="G237" s="8"/>
      <c r="H237" s="8"/>
      <c r="I237" s="8"/>
      <c r="J237" s="9" t="s">
        <v>86</v>
      </c>
      <c r="K237" s="9"/>
      <c r="L237" s="8" t="str">
        <f>IF(AND(AL30&lt;6,AM30=6),Tables!J2,IF(AND(AL30=6,AM30=6),"",Tables!J2))</f>
        <v>Pre Total not compeleted</v>
      </c>
      <c r="M237" s="9"/>
      <c r="N237" s="9"/>
      <c r="O237" s="9"/>
      <c r="P237" s="8"/>
      <c r="Q237" s="8"/>
      <c r="R237" s="8"/>
      <c r="S237" s="8"/>
      <c r="T237" s="8"/>
      <c r="U237" s="8"/>
      <c r="V237" s="8"/>
      <c r="W237" s="8"/>
      <c r="X237" s="8"/>
      <c r="Y237" s="8"/>
      <c r="Z237" s="8"/>
      <c r="AA237" s="8"/>
      <c r="AB237" s="8"/>
      <c r="AC237" s="8"/>
      <c r="AD237" s="8"/>
      <c r="AE237" s="8"/>
      <c r="AF237" s="8"/>
      <c r="AG237" s="8"/>
      <c r="AH237" s="8"/>
      <c r="AI237" s="8"/>
      <c r="AJ237" s="49"/>
      <c r="AL237" s="94">
        <f>IF(L237="",0,1)</f>
        <v>1</v>
      </c>
    </row>
    <row r="238" spans="2:38" ht="15" customHeight="1" x14ac:dyDescent="0.3">
      <c r="B238" s="46"/>
      <c r="C238" s="8"/>
      <c r="D238" s="8"/>
      <c r="E238" s="8"/>
      <c r="F238" s="8"/>
      <c r="G238" s="8"/>
      <c r="H238" s="8"/>
      <c r="I238" s="8"/>
      <c r="J238" s="9" t="s">
        <v>87</v>
      </c>
      <c r="K238" s="9"/>
      <c r="L238" s="8" t="str">
        <f>IF(AND(AL43&lt;6,AM43=6),Tables!J3,IF(AND(AL43=6,AM43=6),"",Tables!J3))</f>
        <v>Post Total not completed</v>
      </c>
      <c r="M238" s="9"/>
      <c r="N238" s="9"/>
      <c r="O238" s="9"/>
      <c r="P238" s="8"/>
      <c r="Q238" s="8"/>
      <c r="R238" s="8"/>
      <c r="S238" s="8"/>
      <c r="T238" s="8"/>
      <c r="U238" s="8"/>
      <c r="V238" s="8"/>
      <c r="W238" s="8"/>
      <c r="X238" s="8"/>
      <c r="Y238" s="8"/>
      <c r="Z238" s="8"/>
      <c r="AA238" s="8"/>
      <c r="AB238" s="8"/>
      <c r="AC238" s="8"/>
      <c r="AD238" s="8"/>
      <c r="AE238" s="8"/>
      <c r="AF238" s="8"/>
      <c r="AG238" s="8"/>
      <c r="AH238" s="8"/>
      <c r="AI238" s="8"/>
      <c r="AJ238" s="49"/>
      <c r="AL238" s="94">
        <f t="shared" ref="AL238:AL253" si="16">IF(L238="",0,1)</f>
        <v>1</v>
      </c>
    </row>
    <row r="239" spans="2:38" ht="15" customHeight="1" x14ac:dyDescent="0.3">
      <c r="B239" s="46"/>
      <c r="C239" s="8"/>
      <c r="D239" s="8"/>
      <c r="E239" s="8"/>
      <c r="F239" s="8"/>
      <c r="G239" s="8"/>
      <c r="H239" s="8"/>
      <c r="I239" s="8"/>
      <c r="J239" s="9" t="s">
        <v>458</v>
      </c>
      <c r="K239" s="9"/>
      <c r="L239" s="8" t="str">
        <f>IF(AM135=3,"",IF(AO137&gt;0,Tables!J20,""))</f>
        <v>Outlet protection section not completed</v>
      </c>
      <c r="M239" s="9"/>
      <c r="N239" s="9"/>
      <c r="O239" s="9"/>
      <c r="P239" s="8"/>
      <c r="Q239" s="8"/>
      <c r="R239" s="8"/>
      <c r="S239" s="8"/>
      <c r="T239" s="8"/>
      <c r="U239" s="8"/>
      <c r="V239" s="8"/>
      <c r="W239" s="8"/>
      <c r="X239" s="8"/>
      <c r="Y239" s="8"/>
      <c r="Z239" s="8"/>
      <c r="AA239" s="8"/>
      <c r="AB239" s="8"/>
      <c r="AC239" s="8"/>
      <c r="AD239" s="8"/>
      <c r="AE239" s="8"/>
      <c r="AF239" s="8"/>
      <c r="AG239" s="8"/>
      <c r="AH239" s="8"/>
      <c r="AI239" s="8"/>
      <c r="AJ239" s="49"/>
      <c r="AL239" s="94">
        <f t="shared" si="16"/>
        <v>1</v>
      </c>
    </row>
    <row r="240" spans="2:38" ht="15" customHeight="1" x14ac:dyDescent="0.3">
      <c r="B240" s="46"/>
      <c r="C240" s="8"/>
      <c r="D240" s="8"/>
      <c r="E240" s="8"/>
      <c r="F240" s="8"/>
      <c r="G240" s="8"/>
      <c r="H240" s="8"/>
      <c r="I240" s="8"/>
      <c r="J240" s="9"/>
      <c r="K240" s="9"/>
      <c r="L240" s="8" t="str">
        <f>IF(AM135=3,"",IF(AQ139=1,"For Class 2 Riprap, the minimum depth is 1.50-feet",IF(AQ139=2,Tables!J22,"")))</f>
        <v>For Class 2 Riprap, the minimum depth is 1.50-feet</v>
      </c>
      <c r="M240" s="9"/>
      <c r="N240" s="9"/>
      <c r="O240" s="9"/>
      <c r="P240" s="8"/>
      <c r="Q240" s="8"/>
      <c r="R240" s="8"/>
      <c r="S240" s="8"/>
      <c r="T240" s="8"/>
      <c r="U240" s="8"/>
      <c r="V240" s="8"/>
      <c r="W240" s="8"/>
      <c r="X240" s="8"/>
      <c r="Y240" s="8"/>
      <c r="Z240" s="8"/>
      <c r="AA240" s="8"/>
      <c r="AB240" s="8"/>
      <c r="AC240" s="8"/>
      <c r="AD240" s="8"/>
      <c r="AE240" s="8"/>
      <c r="AF240" s="8"/>
      <c r="AG240" s="8"/>
      <c r="AH240" s="8"/>
      <c r="AI240" s="8"/>
      <c r="AJ240" s="49"/>
      <c r="AL240" s="94">
        <f t="shared" si="16"/>
        <v>1</v>
      </c>
    </row>
    <row r="241" spans="2:38" ht="15" customHeight="1" x14ac:dyDescent="0.3">
      <c r="B241" s="46"/>
      <c r="C241" s="8"/>
      <c r="D241" s="8"/>
      <c r="E241" s="8"/>
      <c r="F241" s="8"/>
      <c r="G241" s="8"/>
      <c r="H241" s="8"/>
      <c r="I241" s="8"/>
      <c r="J241" s="9" t="s">
        <v>88</v>
      </c>
      <c r="K241" s="9"/>
      <c r="L241" s="8" t="str">
        <f>IF(AND(ISBLANK(K141),ISBLANK(O141)),Tables!J4,IF(AP143=1,"",IF(AM141&lt;6,Tables!J4,"")))</f>
        <v>Emergency Spillway Section not completed</v>
      </c>
      <c r="M241" s="9"/>
      <c r="N241" s="9"/>
      <c r="O241" s="9"/>
      <c r="P241" s="8"/>
      <c r="Q241" s="8"/>
      <c r="R241" s="8"/>
      <c r="S241" s="8"/>
      <c r="T241" s="8"/>
      <c r="U241" s="8"/>
      <c r="V241" s="8"/>
      <c r="W241" s="8"/>
      <c r="X241" s="8"/>
      <c r="Y241" s="8"/>
      <c r="Z241" s="8"/>
      <c r="AA241" s="8"/>
      <c r="AB241" s="8"/>
      <c r="AC241" s="8"/>
      <c r="AD241" s="8"/>
      <c r="AE241" s="8"/>
      <c r="AF241" s="8"/>
      <c r="AG241" s="8"/>
      <c r="AH241" s="8"/>
      <c r="AI241" s="8"/>
      <c r="AJ241" s="49"/>
      <c r="AL241" s="94">
        <f t="shared" si="16"/>
        <v>1</v>
      </c>
    </row>
    <row r="242" spans="2:38" ht="15" customHeight="1" x14ac:dyDescent="0.3">
      <c r="B242" s="46"/>
      <c r="C242" s="8"/>
      <c r="D242" s="8"/>
      <c r="E242" s="8"/>
      <c r="F242" s="8"/>
      <c r="G242" s="8"/>
      <c r="H242" s="8"/>
      <c r="I242" s="8"/>
      <c r="J242" s="9" t="s">
        <v>289</v>
      </c>
      <c r="K242" s="9"/>
      <c r="L242" s="8" t="str">
        <f>IF(AND(ISBLANK(K141),ISBLANK(O141)),Tables!J13,IF(AL161=1,"",IF(AL169&lt;1,Tables!J13,"")))</f>
        <v>Freeboard  &lt;  1.0 ft</v>
      </c>
      <c r="M242" s="9"/>
      <c r="N242" s="9"/>
      <c r="O242" s="9"/>
      <c r="P242" s="8"/>
      <c r="Q242" s="8"/>
      <c r="R242" s="8"/>
      <c r="S242" s="8"/>
      <c r="T242" s="8"/>
      <c r="U242" s="8"/>
      <c r="V242" s="8"/>
      <c r="W242" s="8"/>
      <c r="X242" s="8"/>
      <c r="Y242" s="8"/>
      <c r="Z242" s="8"/>
      <c r="AA242" s="8"/>
      <c r="AB242" s="8"/>
      <c r="AC242" s="8"/>
      <c r="AD242" s="8"/>
      <c r="AE242" s="8"/>
      <c r="AF242" s="8"/>
      <c r="AG242" s="8"/>
      <c r="AH242" s="8"/>
      <c r="AI242" s="8"/>
      <c r="AJ242" s="49"/>
      <c r="AL242" s="94">
        <f t="shared" si="16"/>
        <v>1</v>
      </c>
    </row>
    <row r="243" spans="2:38" ht="15" customHeight="1" x14ac:dyDescent="0.3">
      <c r="B243" s="46"/>
      <c r="C243" s="8"/>
      <c r="D243" s="8"/>
      <c r="E243" s="8"/>
      <c r="F243" s="8"/>
      <c r="G243" s="8"/>
      <c r="H243" s="8"/>
      <c r="I243" s="8"/>
      <c r="J243" s="9" t="s">
        <v>106</v>
      </c>
      <c r="K243" s="9"/>
      <c r="L243" s="8" t="str">
        <f>IF(AR141&lt;2,Tables!J8,"")</f>
        <v>Latitude and/or Longitude not provided</v>
      </c>
      <c r="M243" s="9"/>
      <c r="N243" s="9"/>
      <c r="O243" s="9"/>
      <c r="P243" s="8"/>
      <c r="Q243" s="8"/>
      <c r="R243" s="8"/>
      <c r="S243" s="8"/>
      <c r="T243" s="8"/>
      <c r="U243" s="8"/>
      <c r="V243" s="8"/>
      <c r="W243" s="8"/>
      <c r="X243" s="8"/>
      <c r="Y243" s="8"/>
      <c r="Z243" s="8"/>
      <c r="AA243" s="8"/>
      <c r="AB243" s="8"/>
      <c r="AC243" s="8"/>
      <c r="AD243" s="8"/>
      <c r="AE243" s="8"/>
      <c r="AF243" s="8"/>
      <c r="AG243" s="8"/>
      <c r="AH243" s="8"/>
      <c r="AI243" s="8"/>
      <c r="AJ243" s="49"/>
      <c r="AL243" s="94">
        <f t="shared" si="16"/>
        <v>1</v>
      </c>
    </row>
    <row r="244" spans="2:38" ht="15" customHeight="1" x14ac:dyDescent="0.3">
      <c r="B244" s="46"/>
      <c r="C244" s="8"/>
      <c r="D244" s="8"/>
      <c r="E244" s="8"/>
      <c r="F244" s="8"/>
      <c r="G244" s="8"/>
      <c r="H244" s="8"/>
      <c r="I244" s="8"/>
      <c r="J244" s="9"/>
      <c r="K244" s="9"/>
      <c r="L244" s="8" t="str">
        <f>IF(AND(AR146=1,AR148=1),Tables!$J$14,IF(OR(AR146=3,AR148=3),Tables!$J$14,""))</f>
        <v>Latitude and/or Longitude has been entered as text.  Change to a number.</v>
      </c>
      <c r="M244" s="9"/>
      <c r="N244" s="9"/>
      <c r="O244" s="9"/>
      <c r="P244" s="8"/>
      <c r="Q244" s="8"/>
      <c r="R244" s="8"/>
      <c r="S244" s="8"/>
      <c r="T244" s="8"/>
      <c r="U244" s="8"/>
      <c r="V244" s="8"/>
      <c r="W244" s="8"/>
      <c r="X244" s="8"/>
      <c r="Y244" s="8"/>
      <c r="Z244" s="8"/>
      <c r="AA244" s="8"/>
      <c r="AB244" s="8"/>
      <c r="AC244" s="8"/>
      <c r="AD244" s="8"/>
      <c r="AE244" s="8"/>
      <c r="AF244" s="8"/>
      <c r="AG244" s="8"/>
      <c r="AH244" s="8"/>
      <c r="AI244" s="8"/>
      <c r="AJ244" s="49"/>
      <c r="AL244" s="94">
        <f t="shared" si="16"/>
        <v>1</v>
      </c>
    </row>
    <row r="245" spans="2:38" ht="15" customHeight="1" x14ac:dyDescent="0.3">
      <c r="B245" s="46"/>
      <c r="C245" s="8"/>
      <c r="D245" s="8"/>
      <c r="E245" s="8"/>
      <c r="F245" s="8"/>
      <c r="G245" s="8"/>
      <c r="H245" s="8"/>
      <c r="I245" s="8"/>
      <c r="J245" s="9" t="s">
        <v>137</v>
      </c>
      <c r="K245" s="9"/>
      <c r="L245" s="8" t="str">
        <f>IF(AM158=2,Tables!J9,IF(AM157=1,"",Tables!J9))</f>
        <v>WQv Required &gt; WQv Provided</v>
      </c>
      <c r="M245" s="9"/>
      <c r="N245" s="9"/>
      <c r="O245" s="9"/>
      <c r="P245" s="8"/>
      <c r="Q245" s="8"/>
      <c r="R245" s="8"/>
      <c r="S245" s="8"/>
      <c r="T245" s="8"/>
      <c r="U245" s="8"/>
      <c r="V245" s="8"/>
      <c r="W245" s="8"/>
      <c r="X245" s="8"/>
      <c r="Y245" s="8"/>
      <c r="Z245" s="8"/>
      <c r="AA245" s="8"/>
      <c r="AB245" s="8"/>
      <c r="AC245" s="8"/>
      <c r="AD245" s="8"/>
      <c r="AE245" s="8"/>
      <c r="AF245" s="8"/>
      <c r="AG245" s="8"/>
      <c r="AH245" s="8"/>
      <c r="AI245" s="8"/>
      <c r="AJ245" s="49"/>
      <c r="AL245" s="94">
        <f t="shared" si="16"/>
        <v>1</v>
      </c>
    </row>
    <row r="246" spans="2:38" ht="15" customHeight="1" x14ac:dyDescent="0.3">
      <c r="B246" s="46"/>
      <c r="C246" s="8"/>
      <c r="D246" s="8"/>
      <c r="E246" s="8"/>
      <c r="F246" s="8"/>
      <c r="G246" s="8"/>
      <c r="H246" s="8"/>
      <c r="I246" s="8"/>
      <c r="J246" s="99" t="s">
        <v>234</v>
      </c>
      <c r="K246" s="9"/>
      <c r="L246" s="8"/>
      <c r="M246" s="9"/>
      <c r="N246" s="9"/>
      <c r="O246" s="9"/>
      <c r="P246" s="8"/>
      <c r="Q246" s="8"/>
      <c r="R246" s="8"/>
      <c r="S246" s="8"/>
      <c r="T246" s="8"/>
      <c r="U246" s="8"/>
      <c r="V246" s="8"/>
      <c r="W246" s="8"/>
      <c r="X246" s="8"/>
      <c r="Y246" s="8"/>
      <c r="Z246" s="8"/>
      <c r="AA246" s="8"/>
      <c r="AB246" s="8"/>
      <c r="AC246" s="8"/>
      <c r="AD246" s="8"/>
      <c r="AE246" s="8"/>
      <c r="AF246" s="8"/>
      <c r="AG246" s="8"/>
      <c r="AH246" s="8"/>
      <c r="AI246" s="8"/>
      <c r="AJ246" s="49"/>
      <c r="AL246" s="94">
        <f t="shared" si="16"/>
        <v>0</v>
      </c>
    </row>
    <row r="247" spans="2:38" ht="15" customHeight="1" x14ac:dyDescent="0.3">
      <c r="B247" s="46"/>
      <c r="C247" s="8"/>
      <c r="D247" s="8"/>
      <c r="E247" s="8"/>
      <c r="F247" s="8"/>
      <c r="G247" s="8"/>
      <c r="H247" s="8"/>
      <c r="I247" s="8"/>
      <c r="J247" s="9" t="s">
        <v>83</v>
      </c>
      <c r="K247" s="9"/>
      <c r="L247" s="8" t="str">
        <f>IF(AND(ISBLANK(K141),ISBLANK(O141)),Tables!J7,IF(AL161=1,"",IF(AL163&gt;0,Tables!J7,"")))</f>
        <v>Max Stage for 2, 5, 10, 25, and/or 50-year storm  &gt; emergency spillway crest elevation</v>
      </c>
      <c r="M247" s="9"/>
      <c r="N247" s="9"/>
      <c r="O247" s="9"/>
      <c r="P247" s="8"/>
      <c r="Q247" s="8"/>
      <c r="R247" s="8"/>
      <c r="S247" s="8"/>
      <c r="T247" s="8"/>
      <c r="U247" s="8"/>
      <c r="V247" s="8"/>
      <c r="W247" s="8"/>
      <c r="X247" s="8"/>
      <c r="Y247" s="8"/>
      <c r="Z247" s="8"/>
      <c r="AA247" s="8"/>
      <c r="AB247" s="8"/>
      <c r="AC247" s="8"/>
      <c r="AD247" s="8"/>
      <c r="AE247" s="8"/>
      <c r="AF247" s="8"/>
      <c r="AG247" s="8"/>
      <c r="AH247" s="8"/>
      <c r="AI247" s="8"/>
      <c r="AJ247" s="49"/>
      <c r="AL247" s="94">
        <f t="shared" si="16"/>
        <v>1</v>
      </c>
    </row>
    <row r="248" spans="2:38" ht="15" customHeight="1" x14ac:dyDescent="0.3">
      <c r="B248" s="46"/>
      <c r="C248" s="8"/>
      <c r="D248" s="8"/>
      <c r="E248" s="8"/>
      <c r="F248" s="8"/>
      <c r="G248" s="8"/>
      <c r="H248" s="8"/>
      <c r="I248" s="8"/>
      <c r="J248" s="9" t="s">
        <v>246</v>
      </c>
      <c r="K248" s="9"/>
      <c r="L248" s="8" t="str">
        <f>IF(AR$163&gt;0,Tables!J18,"")</f>
        <v>Outlet Control Structure Velocity &gt; 6 ft/s</v>
      </c>
      <c r="M248" s="9"/>
      <c r="N248" s="9"/>
      <c r="O248" s="9"/>
      <c r="P248" s="8"/>
      <c r="Q248" s="8"/>
      <c r="R248" s="8"/>
      <c r="S248" s="8"/>
      <c r="T248" s="8"/>
      <c r="U248" s="8"/>
      <c r="V248" s="8"/>
      <c r="W248" s="8"/>
      <c r="X248" s="8"/>
      <c r="Y248" s="8"/>
      <c r="Z248" s="8"/>
      <c r="AA248" s="8"/>
      <c r="AB248" s="8"/>
      <c r="AC248" s="8"/>
      <c r="AD248" s="8"/>
      <c r="AE248" s="8"/>
      <c r="AF248" s="8"/>
      <c r="AG248" s="8"/>
      <c r="AH248" s="8"/>
      <c r="AI248" s="8"/>
      <c r="AJ248" s="49"/>
      <c r="AL248" s="94">
        <f t="shared" si="16"/>
        <v>1</v>
      </c>
    </row>
    <row r="249" spans="2:38" ht="15" customHeight="1" x14ac:dyDescent="0.3">
      <c r="B249" s="46"/>
      <c r="C249" s="8"/>
      <c r="D249" s="8"/>
      <c r="E249" s="8"/>
      <c r="F249" s="8"/>
      <c r="G249" s="8"/>
      <c r="H249" s="8"/>
      <c r="I249" s="8"/>
      <c r="J249" s="9"/>
      <c r="K249" s="9"/>
      <c r="L249" s="8" t="str">
        <f>IF(AM$163&gt;0,Tables!J6,"")</f>
        <v>Emergency Spillway Velocity &gt; 6 ft/s</v>
      </c>
      <c r="M249" s="9"/>
      <c r="N249" s="9"/>
      <c r="O249" s="9"/>
      <c r="P249" s="8"/>
      <c r="Q249" s="8"/>
      <c r="R249" s="8"/>
      <c r="S249" s="8"/>
      <c r="T249" s="8"/>
      <c r="U249" s="8"/>
      <c r="V249" s="8"/>
      <c r="W249" s="8"/>
      <c r="X249" s="8"/>
      <c r="Y249" s="8"/>
      <c r="Z249" s="8"/>
      <c r="AA249" s="8"/>
      <c r="AB249" s="8"/>
      <c r="AC249" s="8"/>
      <c r="AD249" s="8"/>
      <c r="AE249" s="8"/>
      <c r="AF249" s="8"/>
      <c r="AG249" s="8"/>
      <c r="AH249" s="8"/>
      <c r="AI249" s="8"/>
      <c r="AJ249" s="49"/>
      <c r="AL249" s="94">
        <f>IF(L249="",0,1)</f>
        <v>1</v>
      </c>
    </row>
    <row r="250" spans="2:38" ht="15" customHeight="1" x14ac:dyDescent="0.3">
      <c r="B250" s="46"/>
      <c r="C250" s="8"/>
      <c r="D250" s="8"/>
      <c r="E250" s="8"/>
      <c r="F250" s="8"/>
      <c r="G250" s="8"/>
      <c r="H250" s="8"/>
      <c r="I250" s="8"/>
      <c r="J250" s="9" t="s">
        <v>89</v>
      </c>
      <c r="K250" s="9"/>
      <c r="L250" s="8" t="str">
        <f>IF(OR(AN163&gt;0,AO163&gt;0),Tables!J5,"")</f>
        <v>Total Post Q &gt; Pre Q</v>
      </c>
      <c r="M250" s="9"/>
      <c r="N250" s="9"/>
      <c r="O250" s="9"/>
      <c r="P250" s="8"/>
      <c r="Q250" s="8"/>
      <c r="R250" s="8"/>
      <c r="S250" s="8"/>
      <c r="T250" s="8"/>
      <c r="U250" s="8"/>
      <c r="V250" s="8"/>
      <c r="W250" s="8"/>
      <c r="X250" s="8"/>
      <c r="Y250" s="8"/>
      <c r="Z250" s="8"/>
      <c r="AA250" s="8"/>
      <c r="AB250" s="8"/>
      <c r="AC250" s="8"/>
      <c r="AD250" s="8"/>
      <c r="AE250" s="8"/>
      <c r="AF250" s="8"/>
      <c r="AG250" s="8"/>
      <c r="AH250" s="8"/>
      <c r="AI250" s="8"/>
      <c r="AJ250" s="49"/>
      <c r="AL250" s="94">
        <f t="shared" si="16"/>
        <v>1</v>
      </c>
    </row>
    <row r="251" spans="2:38" ht="15" customHeight="1" x14ac:dyDescent="0.3">
      <c r="B251" s="46"/>
      <c r="C251" s="8"/>
      <c r="D251" s="8"/>
      <c r="E251" s="8"/>
      <c r="F251" s="8"/>
      <c r="G251" s="8"/>
      <c r="H251" s="8"/>
      <c r="I251" s="8"/>
      <c r="J251" s="9"/>
      <c r="K251" s="9"/>
      <c r="L251" s="8" t="str">
        <f>IF($AQ$163&gt;0,Tables!$J$11,"")</f>
        <v>Total Post Q is &lt; -0.50 ft3/s of Pre Q</v>
      </c>
      <c r="M251" s="9"/>
      <c r="N251" s="9"/>
      <c r="O251" s="9"/>
      <c r="P251" s="8"/>
      <c r="Q251" s="8"/>
      <c r="R251" s="8"/>
      <c r="S251" s="8"/>
      <c r="T251" s="8"/>
      <c r="U251" s="8"/>
      <c r="V251" s="8"/>
      <c r="W251" s="8"/>
      <c r="X251" s="8"/>
      <c r="Y251" s="8"/>
      <c r="Z251" s="8"/>
      <c r="AA251" s="8"/>
      <c r="AB251" s="8"/>
      <c r="AC251" s="8"/>
      <c r="AD251" s="8"/>
      <c r="AE251" s="8"/>
      <c r="AF251" s="8"/>
      <c r="AG251" s="8"/>
      <c r="AH251" s="8"/>
      <c r="AI251" s="8"/>
      <c r="AJ251" s="49"/>
      <c r="AL251" s="94">
        <f t="shared" si="16"/>
        <v>1</v>
      </c>
    </row>
    <row r="252" spans="2:38" ht="15" customHeight="1" x14ac:dyDescent="0.3">
      <c r="B252" s="46"/>
      <c r="C252" s="8"/>
      <c r="D252" s="8"/>
      <c r="E252" s="8"/>
      <c r="F252" s="8"/>
      <c r="G252" s="8"/>
      <c r="H252" s="8"/>
      <c r="I252" s="8"/>
      <c r="J252" s="9"/>
      <c r="K252" s="9"/>
      <c r="L252" s="8" t="str">
        <f>IF(AO182="Yes",IF(AND(ISBLANK(C182),ISBLANK(F182)),Tables!$J15,IF($AO$163&gt;0,Tables!$J15,"")),"")</f>
        <v/>
      </c>
      <c r="M252" s="9"/>
      <c r="N252" s="9"/>
      <c r="O252" s="9"/>
      <c r="P252" s="8"/>
      <c r="Q252" s="8"/>
      <c r="R252" s="8"/>
      <c r="S252" s="8"/>
      <c r="T252" s="8"/>
      <c r="U252" s="8"/>
      <c r="V252" s="8"/>
      <c r="W252" s="8"/>
      <c r="X252" s="8"/>
      <c r="Y252" s="8"/>
      <c r="Z252" s="8"/>
      <c r="AA252" s="8"/>
      <c r="AB252" s="8"/>
      <c r="AC252" s="8"/>
      <c r="AD252" s="8"/>
      <c r="AE252" s="8"/>
      <c r="AF252" s="8"/>
      <c r="AG252" s="8"/>
      <c r="AH252" s="8"/>
      <c r="AI252" s="8"/>
      <c r="AJ252" s="49"/>
      <c r="AL252" s="94">
        <f t="shared" si="16"/>
        <v>0</v>
      </c>
    </row>
    <row r="253" spans="2:38" ht="15" customHeight="1" x14ac:dyDescent="0.3">
      <c r="B253" s="50"/>
      <c r="C253" s="51"/>
      <c r="D253" s="51"/>
      <c r="E253" s="51"/>
      <c r="F253" s="51"/>
      <c r="G253" s="51"/>
      <c r="H253" s="51"/>
      <c r="I253" s="51"/>
      <c r="J253" s="52"/>
      <c r="K253" s="52"/>
      <c r="L253" s="51" t="str">
        <f>IF(AO184="Yes",IF(AND(ISBLANK(C184),ISBLANK(F184)),Tables!$J16,IF($AP$163&gt;0,Tables!$J16,"")),"")</f>
        <v>Drains to adjacent property:  25, 50, and 100-yr discharge &gt; 25-yr discharge</v>
      </c>
      <c r="M253" s="52"/>
      <c r="N253" s="52"/>
      <c r="O253" s="52"/>
      <c r="P253" s="51"/>
      <c r="Q253" s="51"/>
      <c r="R253" s="51"/>
      <c r="S253" s="51"/>
      <c r="T253" s="51"/>
      <c r="U253" s="51"/>
      <c r="V253" s="51"/>
      <c r="W253" s="51"/>
      <c r="X253" s="51"/>
      <c r="Y253" s="51"/>
      <c r="Z253" s="51"/>
      <c r="AA253" s="51"/>
      <c r="AB253" s="51"/>
      <c r="AC253" s="51"/>
      <c r="AD253" s="51"/>
      <c r="AE253" s="51"/>
      <c r="AF253" s="51"/>
      <c r="AG253" s="51"/>
      <c r="AH253" s="51"/>
      <c r="AI253" s="51"/>
      <c r="AJ253" s="53"/>
      <c r="AL253" s="94">
        <f t="shared" si="16"/>
        <v>1</v>
      </c>
    </row>
    <row r="254" spans="2:38" ht="15" customHeight="1" x14ac:dyDescent="0.3">
      <c r="AK254" s="33"/>
    </row>
    <row r="255" spans="2:38" ht="15" customHeight="1" x14ac:dyDescent="0.3">
      <c r="AK255" s="33"/>
    </row>
    <row r="256" spans="2:38" ht="15" customHeight="1" x14ac:dyDescent="0.3">
      <c r="B256" s="203">
        <f>Tables!$F$13</f>
        <v>46266</v>
      </c>
      <c r="C256" s="203"/>
      <c r="D256" s="203"/>
      <c r="E256" s="203"/>
      <c r="F256" s="203"/>
      <c r="G256" s="203"/>
      <c r="H256" s="203"/>
      <c r="R256" s="178" t="s">
        <v>296</v>
      </c>
      <c r="S256" s="178"/>
      <c r="T256" s="178"/>
      <c r="U256" s="178"/>
      <c r="AK256" s="33"/>
    </row>
    <row r="257" ht="15" customHeight="1" x14ac:dyDescent="0.3"/>
    <row r="258" ht="15" customHeight="1" x14ac:dyDescent="0.3"/>
    <row r="259" ht="15" customHeight="1" x14ac:dyDescent="0.3"/>
  </sheetData>
  <sheetProtection algorithmName="SHA-512" hashValue="Swk3ox+nPE20Q0GK/2bQgiPKkj1UNbkwB/kUooyyhkjlCFzaRJnH94RXWSxBpEB4QhOWI19azA7dqazJ61Y7IQ==" saltValue="TfF1GuTrhVjOZvsExv0prA==" spinCount="100000" sheet="1" objects="1" scenarios="1" selectLockedCells="1"/>
  <mergeCells count="439">
    <mergeCell ref="K97:M97"/>
    <mergeCell ref="R85:T85"/>
    <mergeCell ref="M92:O92"/>
    <mergeCell ref="R92:T92"/>
    <mergeCell ref="BJ1:CB4"/>
    <mergeCell ref="R1:AK4"/>
    <mergeCell ref="T99:V99"/>
    <mergeCell ref="R88:T88"/>
    <mergeCell ref="J22:M22"/>
    <mergeCell ref="Z71:AB71"/>
    <mergeCell ref="AG71:AI71"/>
    <mergeCell ref="Q71:T71"/>
    <mergeCell ref="Z77:AB77"/>
    <mergeCell ref="P36:R36"/>
    <mergeCell ref="AB29:AD29"/>
    <mergeCell ref="AB30:AD30"/>
    <mergeCell ref="AB31:AD31"/>
    <mergeCell ref="AB32:AD32"/>
    <mergeCell ref="X29:Z29"/>
    <mergeCell ref="X34:Z34"/>
    <mergeCell ref="X35:Z35"/>
    <mergeCell ref="AF41:AH41"/>
    <mergeCell ref="P32:R32"/>
    <mergeCell ref="P33:R33"/>
    <mergeCell ref="Z69:AB69"/>
    <mergeCell ref="AC75:AJ75"/>
    <mergeCell ref="W93:Y93"/>
    <mergeCell ref="W94:Y94"/>
    <mergeCell ref="AF60:AH60"/>
    <mergeCell ref="AF64:AH64"/>
    <mergeCell ref="AG66:AI66"/>
    <mergeCell ref="AG67:AI67"/>
    <mergeCell ref="K96:M96"/>
    <mergeCell ref="M90:O90"/>
    <mergeCell ref="AB90:AD90"/>
    <mergeCell ref="AB91:AD91"/>
    <mergeCell ref="W84:Y84"/>
    <mergeCell ref="R84:T84"/>
    <mergeCell ref="AB92:AD92"/>
    <mergeCell ref="M85:O85"/>
    <mergeCell ref="AG77:AI77"/>
    <mergeCell ref="S77:U77"/>
    <mergeCell ref="W91:Y91"/>
    <mergeCell ref="W92:Y92"/>
    <mergeCell ref="M88:O88"/>
    <mergeCell ref="W88:Y88"/>
    <mergeCell ref="M84:O84"/>
    <mergeCell ref="K77:O77"/>
    <mergeCell ref="W22:Z22"/>
    <mergeCell ref="AE56:AJ56"/>
    <mergeCell ref="AE57:AJ57"/>
    <mergeCell ref="AB35:AD35"/>
    <mergeCell ref="AB36:AD36"/>
    <mergeCell ref="AB41:AD41"/>
    <mergeCell ref="AB42:AD42"/>
    <mergeCell ref="AB43:AD43"/>
    <mergeCell ref="X46:Z46"/>
    <mergeCell ref="X41:Z41"/>
    <mergeCell ref="X36:Z36"/>
    <mergeCell ref="AB40:AD40"/>
    <mergeCell ref="AF35:AH35"/>
    <mergeCell ref="AB34:AD34"/>
    <mergeCell ref="D56:Y56"/>
    <mergeCell ref="T42:V42"/>
    <mergeCell ref="AB27:AD27"/>
    <mergeCell ref="L28:N28"/>
    <mergeCell ref="P28:R28"/>
    <mergeCell ref="T27:V27"/>
    <mergeCell ref="X27:Z27"/>
    <mergeCell ref="L32:N32"/>
    <mergeCell ref="L31:N31"/>
    <mergeCell ref="L30:N30"/>
    <mergeCell ref="B109:H109"/>
    <mergeCell ref="R109:U109"/>
    <mergeCell ref="S153:U153"/>
    <mergeCell ref="B159:H159"/>
    <mergeCell ref="AV6:BJ7"/>
    <mergeCell ref="O95:Q95"/>
    <mergeCell ref="M91:O91"/>
    <mergeCell ref="R91:T91"/>
    <mergeCell ref="W85:Y85"/>
    <mergeCell ref="M86:O86"/>
    <mergeCell ref="R86:T86"/>
    <mergeCell ref="W86:Y86"/>
    <mergeCell ref="V90:Z90"/>
    <mergeCell ref="Q90:U90"/>
    <mergeCell ref="M87:O87"/>
    <mergeCell ref="R87:T87"/>
    <mergeCell ref="W87:Y87"/>
    <mergeCell ref="T29:V29"/>
    <mergeCell ref="T30:V30"/>
    <mergeCell ref="N21:O21"/>
    <mergeCell ref="N22:O22"/>
    <mergeCell ref="N23:O23"/>
    <mergeCell ref="AA16:AD16"/>
    <mergeCell ref="AE16:AF16"/>
    <mergeCell ref="K128:M128"/>
    <mergeCell ref="O146:R146"/>
    <mergeCell ref="F143:I143"/>
    <mergeCell ref="F127:I127"/>
    <mergeCell ref="F128:I128"/>
    <mergeCell ref="U125:W125"/>
    <mergeCell ref="U127:W127"/>
    <mergeCell ref="U128:W128"/>
    <mergeCell ref="P125:R125"/>
    <mergeCell ref="P127:R127"/>
    <mergeCell ref="P128:R128"/>
    <mergeCell ref="K125:M125"/>
    <mergeCell ref="P129:R129"/>
    <mergeCell ref="P133:R133"/>
    <mergeCell ref="F133:I133"/>
    <mergeCell ref="P132:R132"/>
    <mergeCell ref="K127:M127"/>
    <mergeCell ref="AD116:AF116"/>
    <mergeCell ref="K101:M101"/>
    <mergeCell ref="O101:Q101"/>
    <mergeCell ref="T101:V101"/>
    <mergeCell ref="Y101:AA101"/>
    <mergeCell ref="AD101:AF101"/>
    <mergeCell ref="T103:V103"/>
    <mergeCell ref="Y103:AA103"/>
    <mergeCell ref="P121:R121"/>
    <mergeCell ref="P119:R119"/>
    <mergeCell ref="K105:M105"/>
    <mergeCell ref="O105:Q105"/>
    <mergeCell ref="T105:V105"/>
    <mergeCell ref="Y105:AA105"/>
    <mergeCell ref="AD105:AF105"/>
    <mergeCell ref="N114:Q114"/>
    <mergeCell ref="Z125:AB125"/>
    <mergeCell ref="T107:V107"/>
    <mergeCell ref="Y107:AA107"/>
    <mergeCell ref="AE111:AJ111"/>
    <mergeCell ref="AE110:AJ110"/>
    <mergeCell ref="AF144:AH144"/>
    <mergeCell ref="B256:H256"/>
    <mergeCell ref="R256:U256"/>
    <mergeCell ref="F227:Z227"/>
    <mergeCell ref="F228:L228"/>
    <mergeCell ref="P228:S228"/>
    <mergeCell ref="X228:Z228"/>
    <mergeCell ref="F229:Z229"/>
    <mergeCell ref="C155:E155"/>
    <mergeCell ref="S155:U155"/>
    <mergeCell ref="S156:U156"/>
    <mergeCell ref="X155:Z155"/>
    <mergeCell ref="X156:Z156"/>
    <mergeCell ref="H156:J156"/>
    <mergeCell ref="C156:E156"/>
    <mergeCell ref="M164:O164"/>
    <mergeCell ref="M165:O165"/>
    <mergeCell ref="M166:O166"/>
    <mergeCell ref="H152:J152"/>
    <mergeCell ref="H153:J153"/>
    <mergeCell ref="H154:J154"/>
    <mergeCell ref="W144:Y144"/>
    <mergeCell ref="AD232:AH232"/>
    <mergeCell ref="F225:Z225"/>
    <mergeCell ref="X28:Z28"/>
    <mergeCell ref="T31:V31"/>
    <mergeCell ref="P40:R40"/>
    <mergeCell ref="T40:V40"/>
    <mergeCell ref="T36:V36"/>
    <mergeCell ref="T34:V34"/>
    <mergeCell ref="AB33:AD33"/>
    <mergeCell ref="P41:R41"/>
    <mergeCell ref="AE125:AG125"/>
    <mergeCell ref="Q69:T69"/>
    <mergeCell ref="Q70:S70"/>
    <mergeCell ref="P79:T79"/>
    <mergeCell ref="P81:T81"/>
    <mergeCell ref="Y99:AA99"/>
    <mergeCell ref="T44:V44"/>
    <mergeCell ref="T45:V45"/>
    <mergeCell ref="P42:R42"/>
    <mergeCell ref="P34:R34"/>
    <mergeCell ref="T41:V41"/>
    <mergeCell ref="O97:Q97"/>
    <mergeCell ref="T97:V97"/>
    <mergeCell ref="Y97:AA97"/>
    <mergeCell ref="AD97:AF97"/>
    <mergeCell ref="X30:Z30"/>
    <mergeCell ref="CB41:CB42"/>
    <mergeCell ref="T49:V49"/>
    <mergeCell ref="T47:V47"/>
    <mergeCell ref="P47:R47"/>
    <mergeCell ref="T46:V46"/>
    <mergeCell ref="AF32:AH32"/>
    <mergeCell ref="AF33:AH33"/>
    <mergeCell ref="AF34:AH34"/>
    <mergeCell ref="AF36:AH36"/>
    <mergeCell ref="X40:Z40"/>
    <mergeCell ref="X31:Z31"/>
    <mergeCell ref="AF31:AH31"/>
    <mergeCell ref="X32:Z32"/>
    <mergeCell ref="X33:Z33"/>
    <mergeCell ref="P31:R31"/>
    <mergeCell ref="T32:V32"/>
    <mergeCell ref="T33:V33"/>
    <mergeCell ref="P43:R43"/>
    <mergeCell ref="P44:R44"/>
    <mergeCell ref="AF27:AH27"/>
    <mergeCell ref="L27:N27"/>
    <mergeCell ref="P27:R27"/>
    <mergeCell ref="L29:N29"/>
    <mergeCell ref="T28:V28"/>
    <mergeCell ref="L33:N33"/>
    <mergeCell ref="AB28:AD28"/>
    <mergeCell ref="AF28:AH28"/>
    <mergeCell ref="P29:R29"/>
    <mergeCell ref="P30:R30"/>
    <mergeCell ref="E7:X7"/>
    <mergeCell ref="E8:X8"/>
    <mergeCell ref="AE7:AJ7"/>
    <mergeCell ref="AE8:AJ8"/>
    <mergeCell ref="J18:M18"/>
    <mergeCell ref="J19:M19"/>
    <mergeCell ref="J20:M20"/>
    <mergeCell ref="J21:M21"/>
    <mergeCell ref="AA17:AD17"/>
    <mergeCell ref="N18:O18"/>
    <mergeCell ref="N19:O19"/>
    <mergeCell ref="AA19:AB19"/>
    <mergeCell ref="AE19:AH19"/>
    <mergeCell ref="W19:Z19"/>
    <mergeCell ref="AI19:AJ19"/>
    <mergeCell ref="N20:O20"/>
    <mergeCell ref="AE17:AF17"/>
    <mergeCell ref="W23:Z23"/>
    <mergeCell ref="F32:G32"/>
    <mergeCell ref="F33:G33"/>
    <mergeCell ref="F34:G34"/>
    <mergeCell ref="F35:G35"/>
    <mergeCell ref="AF49:AH49"/>
    <mergeCell ref="AF46:AH46"/>
    <mergeCell ref="AF47:AH47"/>
    <mergeCell ref="AF48:AH48"/>
    <mergeCell ref="AB48:AD48"/>
    <mergeCell ref="AB49:AD49"/>
    <mergeCell ref="AB45:AD45"/>
    <mergeCell ref="X42:Z42"/>
    <mergeCell ref="X43:Z43"/>
    <mergeCell ref="X44:Z44"/>
    <mergeCell ref="AB44:AD44"/>
    <mergeCell ref="X45:Z45"/>
    <mergeCell ref="AB46:AD46"/>
    <mergeCell ref="AB47:AD47"/>
    <mergeCell ref="AF44:AH44"/>
    <mergeCell ref="AF45:AH45"/>
    <mergeCell ref="F36:G36"/>
    <mergeCell ref="F44:G44"/>
    <mergeCell ref="J23:M23"/>
    <mergeCell ref="P45:R45"/>
    <mergeCell ref="P46:R46"/>
    <mergeCell ref="F31:G31"/>
    <mergeCell ref="T35:V35"/>
    <mergeCell ref="T43:V43"/>
    <mergeCell ref="P35:R35"/>
    <mergeCell ref="L34:N34"/>
    <mergeCell ref="L46:N46"/>
    <mergeCell ref="L45:N45"/>
    <mergeCell ref="L44:N44"/>
    <mergeCell ref="L43:N43"/>
    <mergeCell ref="L42:N42"/>
    <mergeCell ref="L41:N41"/>
    <mergeCell ref="L40:N40"/>
    <mergeCell ref="L36:N36"/>
    <mergeCell ref="L35:N35"/>
    <mergeCell ref="C128:E128"/>
    <mergeCell ref="C129:E129"/>
    <mergeCell ref="C130:E130"/>
    <mergeCell ref="C131:E131"/>
    <mergeCell ref="C132:E132"/>
    <mergeCell ref="C133:E133"/>
    <mergeCell ref="P49:R49"/>
    <mergeCell ref="F129:I129"/>
    <mergeCell ref="F132:I132"/>
    <mergeCell ref="F130:I130"/>
    <mergeCell ref="F131:I131"/>
    <mergeCell ref="D110:Y110"/>
    <mergeCell ref="F119:I119"/>
    <mergeCell ref="F120:I120"/>
    <mergeCell ref="F121:I121"/>
    <mergeCell ref="F122:I122"/>
    <mergeCell ref="F124:I124"/>
    <mergeCell ref="P122:R122"/>
    <mergeCell ref="N116:Q116"/>
    <mergeCell ref="T116:V116"/>
    <mergeCell ref="T114:V114"/>
    <mergeCell ref="Y114:AA114"/>
    <mergeCell ref="N113:Q113"/>
    <mergeCell ref="F125:I125"/>
    <mergeCell ref="F49:G49"/>
    <mergeCell ref="X47:Z47"/>
    <mergeCell ref="X48:Z48"/>
    <mergeCell ref="X49:Z49"/>
    <mergeCell ref="L48:N48"/>
    <mergeCell ref="L49:N49"/>
    <mergeCell ref="B55:H55"/>
    <mergeCell ref="R55:U55"/>
    <mergeCell ref="R83:T83"/>
    <mergeCell ref="W83:Y83"/>
    <mergeCell ref="D44:E49"/>
    <mergeCell ref="F48:G48"/>
    <mergeCell ref="T48:V48"/>
    <mergeCell ref="P48:R48"/>
    <mergeCell ref="S67:U67"/>
    <mergeCell ref="Z66:AB66"/>
    <mergeCell ref="Z67:AB67"/>
    <mergeCell ref="J66:M66"/>
    <mergeCell ref="J67:M67"/>
    <mergeCell ref="S66:U66"/>
    <mergeCell ref="F45:G45"/>
    <mergeCell ref="F46:G46"/>
    <mergeCell ref="F47:G47"/>
    <mergeCell ref="L47:N47"/>
    <mergeCell ref="H150:J150"/>
    <mergeCell ref="S150:U150"/>
    <mergeCell ref="U129:W129"/>
    <mergeCell ref="P130:R130"/>
    <mergeCell ref="P131:R131"/>
    <mergeCell ref="U130:W130"/>
    <mergeCell ref="U132:W132"/>
    <mergeCell ref="O143:Q143"/>
    <mergeCell ref="O144:Q144"/>
    <mergeCell ref="K130:M130"/>
    <mergeCell ref="K131:M131"/>
    <mergeCell ref="U131:W131"/>
    <mergeCell ref="U133:W133"/>
    <mergeCell ref="K132:M132"/>
    <mergeCell ref="K133:M133"/>
    <mergeCell ref="K129:M129"/>
    <mergeCell ref="F137:N137"/>
    <mergeCell ref="M139:O139"/>
    <mergeCell ref="T139:U139"/>
    <mergeCell ref="T137:U137"/>
    <mergeCell ref="AC150:AF150"/>
    <mergeCell ref="Q164:S164"/>
    <mergeCell ref="Y162:AA162"/>
    <mergeCell ref="AC155:AF155"/>
    <mergeCell ref="AC151:AF151"/>
    <mergeCell ref="AC152:AF152"/>
    <mergeCell ref="AC153:AF153"/>
    <mergeCell ref="AC154:AF154"/>
    <mergeCell ref="R159:U159"/>
    <mergeCell ref="X151:Z151"/>
    <mergeCell ref="X152:Z152"/>
    <mergeCell ref="AC156:AF156"/>
    <mergeCell ref="X150:Z150"/>
    <mergeCell ref="X154:Z154"/>
    <mergeCell ref="X153:Z153"/>
    <mergeCell ref="AC157:AF157"/>
    <mergeCell ref="S151:U151"/>
    <mergeCell ref="S157:U157"/>
    <mergeCell ref="S152:U152"/>
    <mergeCell ref="S154:U154"/>
    <mergeCell ref="AN172:AO172"/>
    <mergeCell ref="AC162:AE162"/>
    <mergeCell ref="Y164:AA164"/>
    <mergeCell ref="Y165:AA165"/>
    <mergeCell ref="Q163:S163"/>
    <mergeCell ref="Y166:AA166"/>
    <mergeCell ref="Y167:AA167"/>
    <mergeCell ref="Y163:AA163"/>
    <mergeCell ref="AC163:AE163"/>
    <mergeCell ref="Q166:S166"/>
    <mergeCell ref="Q167:S167"/>
    <mergeCell ref="Q168:S168"/>
    <mergeCell ref="Q165:S165"/>
    <mergeCell ref="F230:J230"/>
    <mergeCell ref="D213:Y213"/>
    <mergeCell ref="AE213:AJ213"/>
    <mergeCell ref="AE214:AJ214"/>
    <mergeCell ref="U168:W168"/>
    <mergeCell ref="U169:W169"/>
    <mergeCell ref="B172:AJ178"/>
    <mergeCell ref="M168:O168"/>
    <mergeCell ref="M169:O169"/>
    <mergeCell ref="AG168:AI168"/>
    <mergeCell ref="AG169:AI169"/>
    <mergeCell ref="Q169:S169"/>
    <mergeCell ref="AC169:AE169"/>
    <mergeCell ref="Y169:AA169"/>
    <mergeCell ref="Y168:AA168"/>
    <mergeCell ref="F226:Z226"/>
    <mergeCell ref="B212:H212"/>
    <mergeCell ref="R212:U212"/>
    <mergeCell ref="C169:D169"/>
    <mergeCell ref="C168:D168"/>
    <mergeCell ref="I169:K169"/>
    <mergeCell ref="I168:K168"/>
    <mergeCell ref="AC6:AJ6"/>
    <mergeCell ref="AL198:AM198"/>
    <mergeCell ref="AE160:AJ160"/>
    <mergeCell ref="AE161:AJ161"/>
    <mergeCell ref="D160:Y160"/>
    <mergeCell ref="AG163:AJ163"/>
    <mergeCell ref="AG164:AI164"/>
    <mergeCell ref="AG165:AI165"/>
    <mergeCell ref="AG166:AI166"/>
    <mergeCell ref="AG167:AI167"/>
    <mergeCell ref="I28:J28"/>
    <mergeCell ref="I41:J41"/>
    <mergeCell ref="D31:E36"/>
    <mergeCell ref="I163:K163"/>
    <mergeCell ref="T163:W163"/>
    <mergeCell ref="M163:O163"/>
    <mergeCell ref="M151:P151"/>
    <mergeCell ref="C165:D165"/>
    <mergeCell ref="C164:D164"/>
    <mergeCell ref="I167:K167"/>
    <mergeCell ref="I166:K166"/>
    <mergeCell ref="C153:E153"/>
    <mergeCell ref="C154:E154"/>
    <mergeCell ref="M155:P155"/>
    <mergeCell ref="C167:D167"/>
    <mergeCell ref="C166:D166"/>
    <mergeCell ref="U164:W164"/>
    <mergeCell ref="U165:W165"/>
    <mergeCell ref="U166:W166"/>
    <mergeCell ref="U167:W167"/>
    <mergeCell ref="I165:K165"/>
    <mergeCell ref="I164:K164"/>
    <mergeCell ref="F139:H139"/>
    <mergeCell ref="H155:J155"/>
    <mergeCell ref="M156:P156"/>
    <mergeCell ref="M167:O167"/>
    <mergeCell ref="H157:J157"/>
    <mergeCell ref="C149:E149"/>
    <mergeCell ref="M150:P150"/>
    <mergeCell ref="C151:E151"/>
    <mergeCell ref="C152:E152"/>
    <mergeCell ref="C150:E150"/>
    <mergeCell ref="W146:Z146"/>
    <mergeCell ref="M152:P152"/>
    <mergeCell ref="M153:P153"/>
    <mergeCell ref="M154:P154"/>
    <mergeCell ref="H151:J151"/>
    <mergeCell ref="F144:I144"/>
  </mergeCells>
  <phoneticPr fontId="22" type="noConversion"/>
  <conditionalFormatting sqref="B64 B73">
    <cfRule type="expression" dxfId="350" priority="1258">
      <formula>$AN$66=1</formula>
    </cfRule>
  </conditionalFormatting>
  <conditionalFormatting sqref="B172:E172">
    <cfRule type="expression" dxfId="349" priority="300">
      <formula>AL235&gt;0</formula>
    </cfRule>
  </conditionalFormatting>
  <conditionalFormatting sqref="B173:E174">
    <cfRule type="expression" dxfId="348" priority="2056">
      <formula>AL237&gt;0</formula>
    </cfRule>
  </conditionalFormatting>
  <conditionalFormatting sqref="B175:E175">
    <cfRule type="expression" dxfId="347" priority="2066">
      <formula>AL241&gt;0</formula>
    </cfRule>
  </conditionalFormatting>
  <conditionalFormatting sqref="B176:E176">
    <cfRule type="expression" dxfId="346" priority="1365">
      <formula>AL243&gt;0</formula>
    </cfRule>
  </conditionalFormatting>
  <conditionalFormatting sqref="B177:E178">
    <cfRule type="expression" dxfId="345" priority="2045">
      <formula>AL245&gt;0</formula>
    </cfRule>
  </conditionalFormatting>
  <conditionalFormatting sqref="B172:AJ178">
    <cfRule type="cellIs" priority="299" stopIfTrue="1" operator="greaterThan">
      <formula>0</formula>
    </cfRule>
  </conditionalFormatting>
  <conditionalFormatting sqref="C53:C54 F53:F54">
    <cfRule type="expression" priority="11">
      <formula>$AL53=2</formula>
    </cfRule>
    <cfRule type="expression" dxfId="344" priority="12">
      <formula>$AL53=1</formula>
    </cfRule>
  </conditionalFormatting>
  <conditionalFormatting sqref="C182 F182">
    <cfRule type="expression" dxfId="343" priority="264">
      <formula>$AL182=1</formula>
    </cfRule>
  </conditionalFormatting>
  <conditionalFormatting sqref="C182">
    <cfRule type="expression" dxfId="342" priority="265">
      <formula>$AM182=2</formula>
    </cfRule>
  </conditionalFormatting>
  <conditionalFormatting sqref="C184 F184">
    <cfRule type="expression" dxfId="341" priority="173">
      <formula>$AL184=1</formula>
    </cfRule>
  </conditionalFormatting>
  <conditionalFormatting sqref="C184">
    <cfRule type="expression" dxfId="340" priority="174">
      <formula>$AM184=2</formula>
    </cfRule>
  </conditionalFormatting>
  <conditionalFormatting sqref="C204 F204">
    <cfRule type="expression" dxfId="339" priority="261">
      <formula>$AL204=1</formula>
    </cfRule>
  </conditionalFormatting>
  <conditionalFormatting sqref="C204">
    <cfRule type="expression" dxfId="338" priority="263">
      <formula>$AM204=2</formula>
    </cfRule>
  </conditionalFormatting>
  <conditionalFormatting sqref="C208 F208">
    <cfRule type="expression" dxfId="337" priority="16">
      <formula>$AL208=1</formula>
    </cfRule>
  </conditionalFormatting>
  <conditionalFormatting sqref="C128:E128">
    <cfRule type="expression" dxfId="336" priority="322">
      <formula>$AL$128=1</formula>
    </cfRule>
  </conditionalFormatting>
  <conditionalFormatting sqref="C150:E150">
    <cfRule type="expression" dxfId="335" priority="306">
      <formula>ISBLANK($C$150)</formula>
    </cfRule>
    <cfRule type="cellIs" priority="305" operator="greaterThan">
      <formula>0</formula>
    </cfRule>
  </conditionalFormatting>
  <conditionalFormatting sqref="D56 AE56:AE57 H157 K157 D160 AE160:AE161">
    <cfRule type="cellIs" dxfId="334" priority="534" operator="equal">
      <formula>0</formula>
    </cfRule>
  </conditionalFormatting>
  <conditionalFormatting sqref="D110 AE110:AE111">
    <cfRule type="cellIs" dxfId="333" priority="408" operator="equal">
      <formula>0</formula>
    </cfRule>
  </conditionalFormatting>
  <conditionalFormatting sqref="D213 AE213:AE214">
    <cfRule type="cellIs" dxfId="332" priority="327" operator="equal">
      <formula>0</formula>
    </cfRule>
  </conditionalFormatting>
  <conditionalFormatting sqref="E7:X8 AE7:AJ8">
    <cfRule type="expression" dxfId="331" priority="175">
      <formula>ISBLANK(E7)</formula>
    </cfRule>
  </conditionalFormatting>
  <conditionalFormatting sqref="F10 M10 U10">
    <cfRule type="expression" dxfId="330" priority="528">
      <formula>ISBLANK(F10)</formula>
    </cfRule>
  </conditionalFormatting>
  <conditionalFormatting sqref="F12 M12 U12">
    <cfRule type="expression" dxfId="329" priority="75">
      <formula>ISBLANK(F12)</formula>
    </cfRule>
  </conditionalFormatting>
  <conditionalFormatting sqref="F14">
    <cfRule type="expression" dxfId="328" priority="15">
      <formula>ISBLANK(F14)</formula>
    </cfRule>
  </conditionalFormatting>
  <conditionalFormatting sqref="F119 P119 F122 P122 F125 F127 AC157">
    <cfRule type="expression" dxfId="327" priority="553">
      <formula>ISBLANK(F119)</formula>
    </cfRule>
  </conditionalFormatting>
  <conditionalFormatting sqref="F137 F139 M139 T139">
    <cfRule type="expression" dxfId="326" priority="8">
      <formula>ISBLANK(F137)</formula>
    </cfRule>
  </conditionalFormatting>
  <conditionalFormatting sqref="F137 AF137 AI137 F139:H139 M139 T139 AF139 AI139">
    <cfRule type="expression" priority="4" stopIfTrue="1">
      <formula>$AM$135=3</formula>
    </cfRule>
  </conditionalFormatting>
  <conditionalFormatting sqref="F172">
    <cfRule type="expression" dxfId="325" priority="1778">
      <formula>AQ235&gt;0</formula>
    </cfRule>
  </conditionalFormatting>
  <conditionalFormatting sqref="F173:F174">
    <cfRule type="expression" dxfId="324" priority="2058">
      <formula>AQ237&gt;0</formula>
    </cfRule>
  </conditionalFormatting>
  <conditionalFormatting sqref="F175">
    <cfRule type="expression" dxfId="323" priority="2068">
      <formula>AQ241&gt;0</formula>
    </cfRule>
  </conditionalFormatting>
  <conditionalFormatting sqref="F176">
    <cfRule type="expression" dxfId="322" priority="1784">
      <formula>AQ243&gt;0</formula>
    </cfRule>
  </conditionalFormatting>
  <conditionalFormatting sqref="F177:F178">
    <cfRule type="expression" dxfId="321" priority="2047">
      <formula>AQ245&gt;0</formula>
    </cfRule>
  </conditionalFormatting>
  <conditionalFormatting sqref="F200 C200">
    <cfRule type="expression" dxfId="320" priority="46">
      <formula>$AL200=1</formula>
    </cfRule>
  </conditionalFormatting>
  <conditionalFormatting sqref="F200">
    <cfRule type="expression" dxfId="319" priority="45">
      <formula>$AQ$200&gt;0</formula>
    </cfRule>
  </conditionalFormatting>
  <conditionalFormatting sqref="F202 C202">
    <cfRule type="expression" dxfId="318" priority="187">
      <formula>$AL202=1</formula>
    </cfRule>
  </conditionalFormatting>
  <conditionalFormatting sqref="F202">
    <cfRule type="expression" dxfId="317" priority="142">
      <formula>$AM$202=2</formula>
    </cfRule>
  </conditionalFormatting>
  <conditionalFormatting sqref="F225:F226">
    <cfRule type="expression" dxfId="316" priority="286">
      <formula>ISBLANK(F225)</formula>
    </cfRule>
  </conditionalFormatting>
  <conditionalFormatting sqref="F228:F230">
    <cfRule type="expression" dxfId="315" priority="281">
      <formula>ISBLANK(F228)</formula>
    </cfRule>
  </conditionalFormatting>
  <conditionalFormatting sqref="F120:I120">
    <cfRule type="cellIs" priority="340" stopIfTrue="1" operator="greaterThan">
      <formula>0</formula>
    </cfRule>
    <cfRule type="expression" priority="339" stopIfTrue="1">
      <formula>$AL$121=2</formula>
    </cfRule>
    <cfRule type="expression" dxfId="314" priority="341">
      <formula>$AL$120=1</formula>
    </cfRule>
  </conditionalFormatting>
  <conditionalFormatting sqref="F121:I121 P121:R121">
    <cfRule type="expression" dxfId="313" priority="338">
      <formula>$AL$121</formula>
    </cfRule>
    <cfRule type="expression" priority="336" stopIfTrue="1">
      <formula>$AL$120=2</formula>
    </cfRule>
    <cfRule type="cellIs" priority="337" stopIfTrue="1" operator="greaterThan">
      <formula>0</formula>
    </cfRule>
  </conditionalFormatting>
  <conditionalFormatting sqref="F128:I133 K128:M128 U128:W128">
    <cfRule type="expression" dxfId="312" priority="320">
      <formula>$AL128=2</formula>
    </cfRule>
  </conditionalFormatting>
  <conditionalFormatting sqref="F128:I133">
    <cfRule type="cellIs" priority="319" stopIfTrue="1" operator="greaterThan">
      <formula>0</formula>
    </cfRule>
  </conditionalFormatting>
  <conditionalFormatting sqref="F143:I144 O143:Q144 W144:Y144 AF144:AH144">
    <cfRule type="cellIs" priority="2163" stopIfTrue="1" operator="greaterThan">
      <formula>0</formula>
    </cfRule>
    <cfRule type="expression" dxfId="311" priority="2164">
      <formula>$AP$143=2</formula>
    </cfRule>
  </conditionalFormatting>
  <conditionalFormatting sqref="F227:Z227">
    <cfRule type="expression" dxfId="310" priority="284">
      <formula>ISBLANK(F227)</formula>
    </cfRule>
  </conditionalFormatting>
  <conditionalFormatting sqref="G16 J16">
    <cfRule type="expression" dxfId="309" priority="91">
      <formula>$AL$16=1</formula>
    </cfRule>
  </conditionalFormatting>
  <conditionalFormatting sqref="H79 K79">
    <cfRule type="cellIs" priority="363" stopIfTrue="1" operator="greaterThan">
      <formula>0</formula>
    </cfRule>
    <cfRule type="expression" dxfId="308" priority="364" stopIfTrue="1">
      <formula>$AL$79=2</formula>
    </cfRule>
    <cfRule type="expression" dxfId="307" priority="365">
      <formula>$AL$73=2</formula>
    </cfRule>
  </conditionalFormatting>
  <conditionalFormatting sqref="H81 K81">
    <cfRule type="cellIs" priority="360" stopIfTrue="1" operator="greaterThan">
      <formula>0</formula>
    </cfRule>
    <cfRule type="expression" priority="361" stopIfTrue="1">
      <formula>$AL$81=2</formula>
    </cfRule>
    <cfRule type="expression" dxfId="306" priority="362">
      <formula>$AL$73=2</formula>
    </cfRule>
  </conditionalFormatting>
  <conditionalFormatting sqref="H150 M150">
    <cfRule type="cellIs" priority="420" operator="greaterThan">
      <formula>0</formula>
    </cfRule>
    <cfRule type="expression" dxfId="305" priority="482">
      <formula>$AL$150=2</formula>
    </cfRule>
  </conditionalFormatting>
  <conditionalFormatting sqref="H151 K151 M151">
    <cfRule type="expression" dxfId="304" priority="480">
      <formula>$AL$151=2</formula>
    </cfRule>
  </conditionalFormatting>
  <conditionalFormatting sqref="H151:H156 K151:K156 M151:M156">
    <cfRule type="cellIs" priority="463" stopIfTrue="1" operator="greaterThan">
      <formula>0</formula>
    </cfRule>
  </conditionalFormatting>
  <conditionalFormatting sqref="H152 K152 M152">
    <cfRule type="expression" dxfId="303" priority="478">
      <formula>$AL$152=2</formula>
    </cfRule>
  </conditionalFormatting>
  <conditionalFormatting sqref="H153 K153 M153">
    <cfRule type="expression" dxfId="302" priority="476">
      <formula>$AL$153=2</formula>
    </cfRule>
  </conditionalFormatting>
  <conditionalFormatting sqref="H154 K154 M154">
    <cfRule type="expression" dxfId="301" priority="474">
      <formula>$AL$154=2</formula>
    </cfRule>
  </conditionalFormatting>
  <conditionalFormatting sqref="H155 K155 M155">
    <cfRule type="expression" dxfId="300" priority="472">
      <formula>$AL$155=2</formula>
    </cfRule>
  </conditionalFormatting>
  <conditionalFormatting sqref="H156 K156 M156">
    <cfRule type="expression" dxfId="299" priority="470">
      <formula>$AL$156=2</formula>
    </cfRule>
  </conditionalFormatting>
  <conditionalFormatting sqref="H150:J150">
    <cfRule type="expression" priority="304" stopIfTrue="1">
      <formula>$AN$150=2</formula>
    </cfRule>
  </conditionalFormatting>
  <conditionalFormatting sqref="H172:AJ172">
    <cfRule type="expression" dxfId="298" priority="2042">
      <formula>AV235&gt;0</formula>
    </cfRule>
  </conditionalFormatting>
  <conditionalFormatting sqref="H173:AJ174">
    <cfRule type="expression" dxfId="297" priority="2060">
      <formula>AV237&gt;0</formula>
    </cfRule>
  </conditionalFormatting>
  <conditionalFormatting sqref="H175:AJ175">
    <cfRule type="expression" dxfId="296" priority="2070">
      <formula>AV241&gt;0</formula>
    </cfRule>
  </conditionalFormatting>
  <conditionalFormatting sqref="H176:AJ176">
    <cfRule type="expression" dxfId="295" priority="2043">
      <formula>AV243&gt;0</formula>
    </cfRule>
  </conditionalFormatting>
  <conditionalFormatting sqref="H177:AJ178">
    <cfRule type="expression" dxfId="294" priority="2049">
      <formula>AV245&gt;0</formula>
    </cfRule>
  </conditionalFormatting>
  <conditionalFormatting sqref="I28">
    <cfRule type="expression" dxfId="293" priority="64">
      <formula>$AM$18=3</formula>
    </cfRule>
  </conditionalFormatting>
  <conditionalFormatting sqref="I41">
    <cfRule type="expression" dxfId="292" priority="60">
      <formula>$AM$18=3</formula>
    </cfRule>
  </conditionalFormatting>
  <conditionalFormatting sqref="I114">
    <cfRule type="expression" dxfId="291" priority="151">
      <formula>$AL$73=2</formula>
    </cfRule>
    <cfRule type="cellIs" priority="149" stopIfTrue="1" operator="greaterThan">
      <formula>0</formula>
    </cfRule>
    <cfRule type="expression" priority="150" stopIfTrue="1">
      <formula>$AM$114=2</formula>
    </cfRule>
  </conditionalFormatting>
  <conditionalFormatting sqref="I116">
    <cfRule type="cellIs" priority="152" stopIfTrue="1" operator="greaterThan">
      <formula>0</formula>
    </cfRule>
    <cfRule type="expression" priority="153" stopIfTrue="1">
      <formula>$AM$116=2</formula>
    </cfRule>
    <cfRule type="expression" dxfId="290" priority="154">
      <formula>$AL$73=2</formula>
    </cfRule>
  </conditionalFormatting>
  <conditionalFormatting sqref="I164:I169">
    <cfRule type="expression" dxfId="289" priority="44">
      <formula>ISBLANK(I164)</formula>
    </cfRule>
  </conditionalFormatting>
  <conditionalFormatting sqref="I188 L188">
    <cfRule type="expression" dxfId="288" priority="27">
      <formula>$AL188=1</formula>
    </cfRule>
  </conditionalFormatting>
  <conditionalFormatting sqref="I188">
    <cfRule type="expression" dxfId="287" priority="26">
      <formula>$AM188=2</formula>
    </cfRule>
  </conditionalFormatting>
  <conditionalFormatting sqref="I194 L194">
    <cfRule type="expression" dxfId="286" priority="23">
      <formula>$AL194=1</formula>
    </cfRule>
  </conditionalFormatting>
  <conditionalFormatting sqref="I206 L206">
    <cfRule type="expression" dxfId="285" priority="262">
      <formula>$AM$204=2</formula>
    </cfRule>
  </conditionalFormatting>
  <conditionalFormatting sqref="I28:J28">
    <cfRule type="expression" dxfId="284" priority="63">
      <formula>$AL$16=1</formula>
    </cfRule>
  </conditionalFormatting>
  <conditionalFormatting sqref="I41:J41">
    <cfRule type="expression" dxfId="283" priority="59">
      <formula>$AL$16=1</formula>
    </cfRule>
  </conditionalFormatting>
  <conditionalFormatting sqref="J18:J22">
    <cfRule type="expression" dxfId="282" priority="96">
      <formula>ISBLANK(J18)</formula>
    </cfRule>
  </conditionalFormatting>
  <conditionalFormatting sqref="J60 P60">
    <cfRule type="expression" dxfId="281" priority="407">
      <formula>$AL$60=1</formula>
    </cfRule>
    <cfRule type="expression" priority="406" stopIfTrue="1">
      <formula>$AL$60=2</formula>
    </cfRule>
  </conditionalFormatting>
  <conditionalFormatting sqref="J62 M62 P62 S62">
    <cfRule type="expression" dxfId="280" priority="405">
      <formula>$AL$62=1</formula>
    </cfRule>
    <cfRule type="expression" priority="404" stopIfTrue="1">
      <formula>$AL$62=2</formula>
    </cfRule>
  </conditionalFormatting>
  <conditionalFormatting sqref="J69">
    <cfRule type="expression" dxfId="279" priority="1898">
      <formula>$AL$66=2</formula>
    </cfRule>
    <cfRule type="cellIs" priority="1897" stopIfTrue="1" operator="greaterThan">
      <formula>0</formula>
    </cfRule>
    <cfRule type="expression" priority="1896" stopIfTrue="1">
      <formula>$AL$70=2</formula>
    </cfRule>
    <cfRule type="expression" dxfId="278" priority="132">
      <formula>$AL$69=2</formula>
    </cfRule>
  </conditionalFormatting>
  <conditionalFormatting sqref="J71">
    <cfRule type="expression" dxfId="277" priority="1971">
      <formula>$AL$66=2</formula>
    </cfRule>
    <cfRule type="expression" dxfId="276" priority="131">
      <formula>$AL$71=2</formula>
    </cfRule>
    <cfRule type="cellIs" priority="1969" stopIfTrue="1" operator="greaterThan">
      <formula>0</formula>
    </cfRule>
    <cfRule type="expression" priority="1970" stopIfTrue="1">
      <formula>$AM$114=2</formula>
    </cfRule>
  </conditionalFormatting>
  <conditionalFormatting sqref="J18:M23 P28:R28 T28:V28 X28:Z28 AB28:AD28 AF28:AH28 P41:R41 T41:V41 X41:Z41 AB41:AD41 AF41:AH41">
    <cfRule type="expression" dxfId="275" priority="82">
      <formula>$AM$18=2</formula>
    </cfRule>
    <cfRule type="expression" dxfId="274" priority="83">
      <formula>$AM$18=1</formula>
    </cfRule>
  </conditionalFormatting>
  <conditionalFormatting sqref="J23:M23">
    <cfRule type="cellIs" dxfId="273" priority="84" operator="equal">
      <formula>0</formula>
    </cfRule>
  </conditionalFormatting>
  <conditionalFormatting sqref="J66:M67 AG66:AI67">
    <cfRule type="expression" dxfId="272" priority="393">
      <formula>$AL$66=2</formula>
    </cfRule>
  </conditionalFormatting>
  <conditionalFormatting sqref="K73 O73 Y75">
    <cfRule type="expression" dxfId="271" priority="370">
      <formula>$AL$73=2</formula>
    </cfRule>
    <cfRule type="expression" priority="367" stopIfTrue="1">
      <formula>$AM$73=2</formula>
    </cfRule>
    <cfRule type="cellIs" priority="366" stopIfTrue="1" operator="greaterThan">
      <formula>0</formula>
    </cfRule>
  </conditionalFormatting>
  <conditionalFormatting sqref="K77 S77 Z77 AG77:AI77 R84:T88 W84:Y88 M91:O92 R91:T92 W91:Y92 AB91:AD92 W93">
    <cfRule type="expression" dxfId="270" priority="379">
      <formula>$AL$73=2</formula>
    </cfRule>
    <cfRule type="cellIs" priority="378" stopIfTrue="1" operator="greaterThan">
      <formula>0</formula>
    </cfRule>
  </conditionalFormatting>
  <conditionalFormatting sqref="K99 N99">
    <cfRule type="expression" dxfId="269" priority="166">
      <formula>$AM97=2</formula>
    </cfRule>
    <cfRule type="expression" priority="165" stopIfTrue="1">
      <formula>$AL99=2</formula>
    </cfRule>
  </conditionalFormatting>
  <conditionalFormatting sqref="K103 N103">
    <cfRule type="expression" dxfId="268" priority="162">
      <formula>$AM101=2</formula>
    </cfRule>
    <cfRule type="expression" priority="161" stopIfTrue="1">
      <formula>$AL103=2</formula>
    </cfRule>
  </conditionalFormatting>
  <conditionalFormatting sqref="K107 N107">
    <cfRule type="expression" priority="157" stopIfTrue="1">
      <formula>$AL107=2</formula>
    </cfRule>
    <cfRule type="expression" dxfId="267" priority="158">
      <formula>$AM105=2</formula>
    </cfRule>
  </conditionalFormatting>
  <conditionalFormatting sqref="K125 N125 S125 U125 AE125">
    <cfRule type="cellIs" dxfId="266" priority="564" operator="greaterThan">
      <formula>0</formula>
    </cfRule>
    <cfRule type="expression" dxfId="265" priority="565">
      <formula>$AL$125=2</formula>
    </cfRule>
  </conditionalFormatting>
  <conditionalFormatting sqref="K127 U127">
    <cfRule type="expression" dxfId="264" priority="562">
      <formula>$AL$127=2</formula>
    </cfRule>
    <cfRule type="cellIs" dxfId="263" priority="561" operator="greaterThan">
      <formula>0</formula>
    </cfRule>
  </conditionalFormatting>
  <conditionalFormatting sqref="K141 O141">
    <cfRule type="cellIs" priority="2171" stopIfTrue="1" operator="greaterThan">
      <formula>0</formula>
    </cfRule>
    <cfRule type="expression" dxfId="262" priority="2172">
      <formula>$AO$143=1</formula>
    </cfRule>
  </conditionalFormatting>
  <conditionalFormatting sqref="K97:M97 K101:M101 K105:M105">
    <cfRule type="cellIs" priority="169" stopIfTrue="1" operator="greaterThan">
      <formula>0</formula>
    </cfRule>
    <cfRule type="expression" dxfId="261" priority="170">
      <formula>$AM97=2</formula>
    </cfRule>
  </conditionalFormatting>
  <conditionalFormatting sqref="K128:M133 U128:W133">
    <cfRule type="cellIs" priority="307" stopIfTrue="1" operator="greaterThan">
      <formula>0</formula>
    </cfRule>
  </conditionalFormatting>
  <conditionalFormatting sqref="K129:M129 U129:W129">
    <cfRule type="expression" dxfId="260" priority="318">
      <formula>$AL$129=2</formula>
    </cfRule>
  </conditionalFormatting>
  <conditionalFormatting sqref="K130:M130 U130:W130">
    <cfRule type="expression" dxfId="259" priority="316">
      <formula>$AL$130=2</formula>
    </cfRule>
  </conditionalFormatting>
  <conditionalFormatting sqref="K131:M131 U131:W131">
    <cfRule type="expression" dxfId="258" priority="314">
      <formula>$AL$131=2</formula>
    </cfRule>
  </conditionalFormatting>
  <conditionalFormatting sqref="K132:M132 U132:W132">
    <cfRule type="expression" dxfId="257" priority="312">
      <formula>$AL$132=2</formula>
    </cfRule>
  </conditionalFormatting>
  <conditionalFormatting sqref="K133:M133 U133:W133">
    <cfRule type="expression" dxfId="256" priority="310">
      <formula>$AL$133=2</formula>
    </cfRule>
  </conditionalFormatting>
  <conditionalFormatting sqref="L28:L36">
    <cfRule type="expression" dxfId="255" priority="527">
      <formula>$L$26=2</formula>
    </cfRule>
    <cfRule type="cellIs" dxfId="254" priority="438" stopIfTrue="1" operator="greaterThan">
      <formula>0</formula>
    </cfRule>
  </conditionalFormatting>
  <conditionalFormatting sqref="L41:L49">
    <cfRule type="cellIs" dxfId="253" priority="516" operator="greaterThan">
      <formula>0</formula>
    </cfRule>
    <cfRule type="expression" dxfId="252" priority="517">
      <formula>$L$39=2</formula>
    </cfRule>
  </conditionalFormatting>
  <conditionalFormatting sqref="L186 I186">
    <cfRule type="expression" dxfId="251" priority="33">
      <formula>$AL186=1</formula>
    </cfRule>
  </conditionalFormatting>
  <conditionalFormatting sqref="L186">
    <cfRule type="expression" dxfId="250" priority="32">
      <formula>$AM186=2</formula>
    </cfRule>
  </conditionalFormatting>
  <conditionalFormatting sqref="L206 I206">
    <cfRule type="expression" priority="260" stopIfTrue="1">
      <formula>$AN$206=3</formula>
    </cfRule>
  </conditionalFormatting>
  <conditionalFormatting sqref="L206">
    <cfRule type="expression" dxfId="249" priority="259" stopIfTrue="1">
      <formula>$AM$206=2</formula>
    </cfRule>
  </conditionalFormatting>
  <conditionalFormatting sqref="L27:N27">
    <cfRule type="cellIs" priority="325" operator="greaterThan">
      <formula>0</formula>
    </cfRule>
    <cfRule type="expression" dxfId="248" priority="326">
      <formula>ISBLANK($L$27)</formula>
    </cfRule>
  </conditionalFormatting>
  <conditionalFormatting sqref="L28:N28">
    <cfRule type="expression" dxfId="247" priority="56">
      <formula>$AM$18=1</formula>
    </cfRule>
    <cfRule type="expression" dxfId="246" priority="55">
      <formula>$AM$18=2</formula>
    </cfRule>
  </conditionalFormatting>
  <conditionalFormatting sqref="L40:N40">
    <cfRule type="expression" dxfId="245" priority="324">
      <formula>ISBLANK($L$40)</formula>
    </cfRule>
    <cfRule type="cellIs" priority="323" operator="greaterThan">
      <formula>0</formula>
    </cfRule>
  </conditionalFormatting>
  <conditionalFormatting sqref="L41:N41">
    <cfRule type="expression" dxfId="244" priority="49">
      <formula>$AM$18=1</formula>
    </cfRule>
    <cfRule type="expression" dxfId="243" priority="48">
      <formula>$AM$18=2</formula>
    </cfRule>
  </conditionalFormatting>
  <conditionalFormatting sqref="M164:M169">
    <cfRule type="expression" dxfId="242" priority="2041">
      <formula>ISBLANK($M164)</formula>
    </cfRule>
  </conditionalFormatting>
  <conditionalFormatting sqref="M84:O88">
    <cfRule type="expression" dxfId="241" priority="377">
      <formula>$AL$73=2</formula>
    </cfRule>
    <cfRule type="cellIs" priority="376" stopIfTrue="1" operator="greaterThan">
      <formula>0</formula>
    </cfRule>
  </conditionalFormatting>
  <conditionalFormatting sqref="M150:P150">
    <cfRule type="expression" priority="303" stopIfTrue="1">
      <formula>$AO$150=2</formula>
    </cfRule>
  </conditionalFormatting>
  <conditionalFormatting sqref="N18:N23">
    <cfRule type="expression" dxfId="240" priority="90">
      <formula>$AM$18=3</formula>
    </cfRule>
  </conditionalFormatting>
  <conditionalFormatting sqref="N114 T114 Y114 N116 T116">
    <cfRule type="cellIs" priority="143" stopIfTrue="1" operator="greaterThan">
      <formula>0</formula>
    </cfRule>
  </conditionalFormatting>
  <conditionalFormatting sqref="N114 T114 Y114">
    <cfRule type="expression" priority="147" stopIfTrue="1">
      <formula>$AL$114=2</formula>
    </cfRule>
    <cfRule type="expression" dxfId="239" priority="148">
      <formula>$AL$73=2</formula>
    </cfRule>
  </conditionalFormatting>
  <conditionalFormatting sqref="N116 T116 AD116">
    <cfRule type="expression" priority="144" stopIfTrue="1">
      <formula>$AL$116=2</formula>
    </cfRule>
  </conditionalFormatting>
  <conditionalFormatting sqref="N18:O23">
    <cfRule type="expression" dxfId="238" priority="89">
      <formula>$AL$16=1</formula>
    </cfRule>
  </conditionalFormatting>
  <conditionalFormatting sqref="O95">
    <cfRule type="cellIs" priority="171" stopIfTrue="1" operator="greaterThan">
      <formula>0</formula>
    </cfRule>
    <cfRule type="expression" dxfId="237" priority="172">
      <formula>$AL$73=2</formula>
    </cfRule>
  </conditionalFormatting>
  <conditionalFormatting sqref="O190 R190">
    <cfRule type="expression" dxfId="236" priority="31">
      <formula>$AM188=2</formula>
    </cfRule>
  </conditionalFormatting>
  <conditionalFormatting sqref="O192 R192">
    <cfRule type="expression" dxfId="235" priority="29">
      <formula>$AM188=2</formula>
    </cfRule>
  </conditionalFormatting>
  <conditionalFormatting sqref="O196 R196">
    <cfRule type="expression" dxfId="234" priority="22">
      <formula>$AM194=2</formula>
    </cfRule>
  </conditionalFormatting>
  <conditionalFormatting sqref="O97:Q97 T97:V97 Y97:AA97 AD97:AF97 O101:Q101 T101:V101 Y101:AA101 AD101:AF101 O105:Q105 T105:V105 Y105:AA105 AD105:AF105">
    <cfRule type="expression" dxfId="233" priority="168">
      <formula>$AN97=2</formula>
    </cfRule>
    <cfRule type="cellIs" priority="167" stopIfTrue="1" operator="greaterThan">
      <formula>0</formula>
    </cfRule>
  </conditionalFormatting>
  <conditionalFormatting sqref="O146:R146 W146:Z146">
    <cfRule type="cellIs" dxfId="232" priority="52" operator="equal">
      <formula>0</formula>
    </cfRule>
  </conditionalFormatting>
  <conditionalFormatting sqref="O146:R146">
    <cfRule type="expression" dxfId="231" priority="2139">
      <formula>$AR$146=3</formula>
    </cfRule>
  </conditionalFormatting>
  <conditionalFormatting sqref="P41:P49">
    <cfRule type="cellIs" dxfId="230" priority="1175" operator="greaterThan">
      <formula>0</formula>
    </cfRule>
    <cfRule type="expression" dxfId="229" priority="1176">
      <formula>$P$39=2</formula>
    </cfRule>
  </conditionalFormatting>
  <conditionalFormatting sqref="P79">
    <cfRule type="cellIs" priority="358" stopIfTrue="1" operator="greaterThan">
      <formula>0</formula>
    </cfRule>
    <cfRule type="expression" dxfId="228" priority="359">
      <formula>$AM$79=2</formula>
    </cfRule>
  </conditionalFormatting>
  <conditionalFormatting sqref="P81">
    <cfRule type="cellIs" priority="356" stopIfTrue="1" operator="greaterThan">
      <formula>0</formula>
    </cfRule>
    <cfRule type="expression" dxfId="227" priority="357">
      <formula>$AM$81=2</formula>
    </cfRule>
  </conditionalFormatting>
  <conditionalFormatting sqref="P228">
    <cfRule type="expression" dxfId="226" priority="282">
      <formula>ISBLANK(P228)</formula>
    </cfRule>
  </conditionalFormatting>
  <conditionalFormatting sqref="P27:R36">
    <cfRule type="expression" dxfId="225" priority="424">
      <formula>$P$26=2</formula>
    </cfRule>
    <cfRule type="cellIs" priority="423" stopIfTrue="1" operator="greaterThan">
      <formula>0</formula>
    </cfRule>
  </conditionalFormatting>
  <conditionalFormatting sqref="Q71 Z71 AG71">
    <cfRule type="expression" priority="1972" stopIfTrue="1">
      <formula>$AL$71=2</formula>
    </cfRule>
    <cfRule type="expression" dxfId="224" priority="1973">
      <formula>$AL$66=2</formula>
    </cfRule>
    <cfRule type="cellIs" priority="133" stopIfTrue="1" operator="greaterThan">
      <formula>0</formula>
    </cfRule>
  </conditionalFormatting>
  <conditionalFormatting sqref="Q164:Q169 U164:U169 AC169">
    <cfRule type="expression" dxfId="223" priority="1">
      <formula>ISBLANK(Q164)</formula>
    </cfRule>
  </conditionalFormatting>
  <conditionalFormatting sqref="R190 O190">
    <cfRule type="expression" priority="30" stopIfTrue="1">
      <formula>$AL190=2</formula>
    </cfRule>
  </conditionalFormatting>
  <conditionalFormatting sqref="R190">
    <cfRule type="expression" dxfId="222" priority="25" stopIfTrue="1">
      <formula>$AM190=2</formula>
    </cfRule>
  </conditionalFormatting>
  <conditionalFormatting sqref="R192 O192">
    <cfRule type="expression" priority="28" stopIfTrue="1">
      <formula>$AL192=2</formula>
    </cfRule>
  </conditionalFormatting>
  <conditionalFormatting sqref="R192">
    <cfRule type="expression" dxfId="221" priority="24" stopIfTrue="1">
      <formula>$AM192=2</formula>
    </cfRule>
  </conditionalFormatting>
  <conditionalFormatting sqref="R196 O196">
    <cfRule type="expression" priority="21" stopIfTrue="1">
      <formula>$AL196=2</formula>
    </cfRule>
  </conditionalFormatting>
  <conditionalFormatting sqref="R196">
    <cfRule type="expression" dxfId="220" priority="20" stopIfTrue="1">
      <formula>$AM196=2</formula>
    </cfRule>
  </conditionalFormatting>
  <conditionalFormatting sqref="R198">
    <cfRule type="cellIs" priority="18" stopIfTrue="1" operator="greaterThan">
      <formula>0</formula>
    </cfRule>
    <cfRule type="expression" dxfId="219" priority="19">
      <formula>$AM194=2</formula>
    </cfRule>
  </conditionalFormatting>
  <conditionalFormatting sqref="S29:S30 S31:T36">
    <cfRule type="cellIs" dxfId="218" priority="434" operator="greaterThan">
      <formula>0</formula>
    </cfRule>
  </conditionalFormatting>
  <conditionalFormatting sqref="S29:S36">
    <cfRule type="expression" dxfId="217" priority="524">
      <formula>$R$26=2</formula>
    </cfRule>
  </conditionalFormatting>
  <conditionalFormatting sqref="S157">
    <cfRule type="cellIs" dxfId="216" priority="1248" operator="lessThan">
      <formula>$H157</formula>
    </cfRule>
    <cfRule type="expression" dxfId="215" priority="295">
      <formula>ISBLANK(S157)</formula>
    </cfRule>
  </conditionalFormatting>
  <conditionalFormatting sqref="S66:U67">
    <cfRule type="expression" dxfId="214" priority="385">
      <formula>$AL$66=2</formula>
    </cfRule>
    <cfRule type="cellIs" priority="384" stopIfTrue="1" operator="greaterThan">
      <formula>0</formula>
    </cfRule>
  </conditionalFormatting>
  <conditionalFormatting sqref="S67:U67">
    <cfRule type="expression" priority="380" stopIfTrue="1">
      <formula>$AM$67=2</formula>
    </cfRule>
  </conditionalFormatting>
  <conditionalFormatting sqref="S157:U157">
    <cfRule type="expression" priority="13" stopIfTrue="1">
      <formula>$H$157="0"</formula>
    </cfRule>
    <cfRule type="expression" dxfId="213" priority="1249">
      <formula>$AN$157=2</formula>
    </cfRule>
  </conditionalFormatting>
  <conditionalFormatting sqref="T14">
    <cfRule type="expression" dxfId="212" priority="14">
      <formula>ISBLANK(T14)</formula>
    </cfRule>
  </conditionalFormatting>
  <conditionalFormatting sqref="T28:T30">
    <cfRule type="cellIs" dxfId="211" priority="1241" operator="greaterThan">
      <formula>0</formula>
    </cfRule>
  </conditionalFormatting>
  <conditionalFormatting sqref="T28:T36">
    <cfRule type="expression" dxfId="210" priority="1242">
      <formula>$T$26=2</formula>
    </cfRule>
  </conditionalFormatting>
  <conditionalFormatting sqref="T41:T49">
    <cfRule type="cellIs" dxfId="209" priority="1219" operator="greaterThan">
      <formula>0</formula>
    </cfRule>
    <cfRule type="expression" dxfId="208" priority="1220">
      <formula>$T$39=2</formula>
    </cfRule>
  </conditionalFormatting>
  <conditionalFormatting sqref="T73">
    <cfRule type="expression" dxfId="207" priority="294">
      <formula>$AL$73=2</formula>
    </cfRule>
    <cfRule type="expression" priority="293" stopIfTrue="1">
      <formula>$AM$73=2</formula>
    </cfRule>
    <cfRule type="cellIs" priority="292" stopIfTrue="1" operator="greaterThan">
      <formula>0</formula>
    </cfRule>
  </conditionalFormatting>
  <conditionalFormatting sqref="T137:U137">
    <cfRule type="cellIs" priority="6" stopIfTrue="1" operator="greaterThan">
      <formula>0</formula>
    </cfRule>
    <cfRule type="expression" dxfId="206" priority="5">
      <formula>$AQ$137="Yes"</formula>
    </cfRule>
    <cfRule type="expression" dxfId="205" priority="7">
      <formula>$AQ$137="Yes"</formula>
    </cfRule>
  </conditionalFormatting>
  <conditionalFormatting sqref="T139:U139">
    <cfRule type="cellIs" dxfId="204" priority="34" operator="lessThan">
      <formula>$AS$137</formula>
    </cfRule>
  </conditionalFormatting>
  <conditionalFormatting sqref="T99:V99 Y99:AA99">
    <cfRule type="expression" dxfId="203" priority="164">
      <formula>$AM99=2</formula>
    </cfRule>
    <cfRule type="cellIs" priority="163" stopIfTrue="1" operator="greaterThan">
      <formula>0</formula>
    </cfRule>
  </conditionalFormatting>
  <conditionalFormatting sqref="T103:V103 Y103:AA103">
    <cfRule type="cellIs" priority="159" stopIfTrue="1" operator="greaterThan">
      <formula>0</formula>
    </cfRule>
    <cfRule type="expression" dxfId="202" priority="160">
      <formula>$AM103=2</formula>
    </cfRule>
  </conditionalFormatting>
  <conditionalFormatting sqref="T107:V107 Y107:AA107">
    <cfRule type="cellIs" priority="155" stopIfTrue="1" operator="greaterThan">
      <formula>0</formula>
    </cfRule>
    <cfRule type="expression" dxfId="201" priority="156">
      <formula>$AM107=2</formula>
    </cfRule>
  </conditionalFormatting>
  <conditionalFormatting sqref="U164:U169">
    <cfRule type="expression" priority="182">
      <formula>$AL$161=1</formula>
    </cfRule>
  </conditionalFormatting>
  <conditionalFormatting sqref="U169">
    <cfRule type="expression" dxfId="200" priority="183">
      <formula>$AL$169&lt;1</formula>
    </cfRule>
  </conditionalFormatting>
  <conditionalFormatting sqref="U164:W168">
    <cfRule type="expression" dxfId="199" priority="181">
      <formula>$AL164=1</formula>
    </cfRule>
  </conditionalFormatting>
  <conditionalFormatting sqref="W94:Y94">
    <cfRule type="cellIs" dxfId="198" priority="343" operator="equal">
      <formula>0</formula>
    </cfRule>
    <cfRule type="expression" priority="342" stopIfTrue="1">
      <formula>$AL$73=1</formula>
    </cfRule>
  </conditionalFormatting>
  <conditionalFormatting sqref="W19:Z19">
    <cfRule type="expression" dxfId="197" priority="81">
      <formula>$AM$18=1</formula>
    </cfRule>
    <cfRule type="cellIs" dxfId="196" priority="95" operator="equal">
      <formula>0</formula>
    </cfRule>
    <cfRule type="expression" priority="94" stopIfTrue="1">
      <formula>$AL$19=1</formula>
    </cfRule>
    <cfRule type="expression" dxfId="195" priority="80">
      <formula>$AM$18=2</formula>
    </cfRule>
  </conditionalFormatting>
  <conditionalFormatting sqref="W22:Z23">
    <cfRule type="expression" priority="92" stopIfTrue="1">
      <formula>$AL$19=1</formula>
    </cfRule>
    <cfRule type="cellIs" dxfId="194" priority="93" operator="equal">
      <formula>0</formula>
    </cfRule>
  </conditionalFormatting>
  <conditionalFormatting sqref="W146:Z146">
    <cfRule type="expression" dxfId="193" priority="2138">
      <formula>$AR$148=3</formula>
    </cfRule>
  </conditionalFormatting>
  <conditionalFormatting sqref="X28:X36">
    <cfRule type="cellIs" dxfId="192" priority="1243" operator="greaterThan">
      <formula>0</formula>
    </cfRule>
    <cfRule type="expression" dxfId="191" priority="1244">
      <formula>$X$26=2</formula>
    </cfRule>
  </conditionalFormatting>
  <conditionalFormatting sqref="X41:X49">
    <cfRule type="expression" dxfId="190" priority="1230">
      <formula>$X$39=2</formula>
    </cfRule>
    <cfRule type="cellIs" dxfId="189" priority="1229" operator="greaterThan">
      <formula>0</formula>
    </cfRule>
  </conditionalFormatting>
  <conditionalFormatting sqref="X150 AC150">
    <cfRule type="expression" dxfId="188" priority="462">
      <formula>$AM$150=2</formula>
    </cfRule>
  </conditionalFormatting>
  <conditionalFormatting sqref="X150:X151 AC150:AC151">
    <cfRule type="cellIs" priority="459" stopIfTrue="1" operator="greaterThan">
      <formula>0</formula>
    </cfRule>
  </conditionalFormatting>
  <conditionalFormatting sqref="X151 AC151">
    <cfRule type="expression" dxfId="187" priority="460">
      <formula>$AM$151=2</formula>
    </cfRule>
  </conditionalFormatting>
  <conditionalFormatting sqref="X152 AC152">
    <cfRule type="cellIs" priority="457" stopIfTrue="1" operator="greaterThan">
      <formula>1</formula>
    </cfRule>
    <cfRule type="expression" dxfId="186" priority="458">
      <formula>$AM$152=2</formula>
    </cfRule>
  </conditionalFormatting>
  <conditionalFormatting sqref="X153 AC153">
    <cfRule type="expression" dxfId="185" priority="456">
      <formula>$AM$153=2</formula>
    </cfRule>
  </conditionalFormatting>
  <conditionalFormatting sqref="X153:X156 AC153:AC156">
    <cfRule type="cellIs" priority="445" stopIfTrue="1" operator="greaterThan">
      <formula>0</formula>
    </cfRule>
  </conditionalFormatting>
  <conditionalFormatting sqref="X154 AC154">
    <cfRule type="expression" dxfId="184" priority="454">
      <formula>$AM$154=2</formula>
    </cfRule>
  </conditionalFormatting>
  <conditionalFormatting sqref="X155 AC155">
    <cfRule type="expression" dxfId="183" priority="452">
      <formula>$AM$155=2</formula>
    </cfRule>
  </conditionalFormatting>
  <conditionalFormatting sqref="X156 AC156">
    <cfRule type="expression" dxfId="182" priority="450">
      <formula>$AM$156=2</formula>
    </cfRule>
  </conditionalFormatting>
  <conditionalFormatting sqref="X228">
    <cfRule type="expression" dxfId="181" priority="283">
      <formula>ISBLANK(X228)</formula>
    </cfRule>
  </conditionalFormatting>
  <conditionalFormatting sqref="Y73">
    <cfRule type="expression" dxfId="180" priority="291">
      <formula>$AL$73=2</formula>
    </cfRule>
    <cfRule type="expression" priority="290" stopIfTrue="1">
      <formula>$AM$73=2</formula>
    </cfRule>
    <cfRule type="cellIs" priority="289" stopIfTrue="1" operator="greaterThan">
      <formula>0</formula>
    </cfRule>
  </conditionalFormatting>
  <conditionalFormatting sqref="Y164:Y169">
    <cfRule type="cellIs" dxfId="179" priority="54" operator="greaterThan">
      <formula>$AM$172</formula>
    </cfRule>
    <cfRule type="expression" dxfId="178" priority="53" stopIfTrue="1">
      <formula>ISBLANK(Y164)</formula>
    </cfRule>
  </conditionalFormatting>
  <conditionalFormatting sqref="Z25 AC25 AF25 AI25">
    <cfRule type="expression" priority="275" stopIfTrue="1">
      <formula>$AL25=2</formula>
    </cfRule>
    <cfRule type="expression" dxfId="177" priority="276">
      <formula>$AL25=1</formula>
    </cfRule>
  </conditionalFormatting>
  <conditionalFormatting sqref="Z69 Q69:Q70">
    <cfRule type="expression" priority="1255" stopIfTrue="1">
      <formula>$AM$69=2</formula>
    </cfRule>
    <cfRule type="cellIs" priority="1256" stopIfTrue="1" operator="greaterThan">
      <formula>0</formula>
    </cfRule>
    <cfRule type="expression" dxfId="176" priority="1257">
      <formula>$AL$66=2</formula>
    </cfRule>
  </conditionalFormatting>
  <conditionalFormatting sqref="Z125">
    <cfRule type="cellIs" dxfId="175" priority="277" operator="greaterThan">
      <formula>0</formula>
    </cfRule>
    <cfRule type="expression" dxfId="174" priority="278">
      <formula>$AL$125=2</formula>
    </cfRule>
  </conditionalFormatting>
  <conditionalFormatting sqref="Z66:AB67">
    <cfRule type="expression" dxfId="173" priority="383">
      <formula>$AL$66=2</formula>
    </cfRule>
    <cfRule type="cellIs" priority="382" stopIfTrue="1" operator="greaterThan">
      <formula>0</formula>
    </cfRule>
  </conditionalFormatting>
  <conditionalFormatting sqref="Z67:AB67 AG67:AI67">
    <cfRule type="expression" priority="381" stopIfTrue="1">
      <formula>$AL$67=2</formula>
    </cfRule>
  </conditionalFormatting>
  <conditionalFormatting sqref="AA16:AA17">
    <cfRule type="expression" dxfId="172" priority="97">
      <formula>ISBLANK(AA16)</formula>
    </cfRule>
  </conditionalFormatting>
  <conditionalFormatting sqref="AA19">
    <cfRule type="expression" dxfId="171" priority="88">
      <formula>$AM$18=3</formula>
    </cfRule>
  </conditionalFormatting>
  <conditionalFormatting sqref="AA19:AB19">
    <cfRule type="expression" dxfId="170" priority="87">
      <formula>$AL$16=1</formula>
    </cfRule>
  </conditionalFormatting>
  <conditionalFormatting sqref="AA16:AD17">
    <cfRule type="expression" dxfId="169" priority="78">
      <formula>$AM$18=2</formula>
    </cfRule>
    <cfRule type="expression" dxfId="168" priority="79">
      <formula>$AM$18=1</formula>
    </cfRule>
  </conditionalFormatting>
  <conditionalFormatting sqref="AB28:AB36">
    <cfRule type="expression" dxfId="167" priority="519">
      <formula>$AB$26=2</formula>
    </cfRule>
    <cfRule type="cellIs" dxfId="166" priority="518" operator="greaterThan">
      <formula>0</formula>
    </cfRule>
  </conditionalFormatting>
  <conditionalFormatting sqref="AB41:AB49">
    <cfRule type="expression" dxfId="165" priority="1240">
      <formula>$AB$39=2</formula>
    </cfRule>
    <cfRule type="cellIs" dxfId="164" priority="1239" operator="greaterThan">
      <formula>0</formula>
    </cfRule>
  </conditionalFormatting>
  <conditionalFormatting sqref="AC6">
    <cfRule type="cellIs" dxfId="163" priority="47" operator="equal">
      <formula>0</formula>
    </cfRule>
  </conditionalFormatting>
  <conditionalFormatting sqref="AC10">
    <cfRule type="expression" dxfId="162" priority="39">
      <formula>ISBLANK(AC10)</formula>
    </cfRule>
  </conditionalFormatting>
  <conditionalFormatting sqref="AC75">
    <cfRule type="cellIs" priority="1771" stopIfTrue="1" operator="greaterThan">
      <formula>0</formula>
    </cfRule>
    <cfRule type="expression" dxfId="161" priority="1772">
      <formula>$AN$75=2</formula>
    </cfRule>
  </conditionalFormatting>
  <conditionalFormatting sqref="AC169">
    <cfRule type="cellIs" dxfId="160" priority="1366" operator="greaterThan">
      <formula>$AM$172</formula>
    </cfRule>
  </conditionalFormatting>
  <conditionalFormatting sqref="AD116 N116 T116">
    <cfRule type="expression" dxfId="159" priority="146">
      <formula>$AL$73=2</formula>
    </cfRule>
  </conditionalFormatting>
  <conditionalFormatting sqref="AD116">
    <cfRule type="cellIs" priority="145" stopIfTrue="1" operator="greaterThan">
      <formula>0</formula>
    </cfRule>
  </conditionalFormatting>
  <conditionalFormatting sqref="AD232">
    <cfRule type="expression" dxfId="158" priority="285">
      <formula>ISBLANK(AD232)</formula>
    </cfRule>
  </conditionalFormatting>
  <conditionalFormatting sqref="AE16:AE17">
    <cfRule type="expression" dxfId="157" priority="86">
      <formula>$AM$18=3</formula>
    </cfRule>
  </conditionalFormatting>
  <conditionalFormatting sqref="AE16:AF17">
    <cfRule type="expression" dxfId="156" priority="85">
      <formula>$AL$16=1</formula>
    </cfRule>
  </conditionalFormatting>
  <conditionalFormatting sqref="AE19:AH19">
    <cfRule type="expression" priority="76" stopIfTrue="1">
      <formula>$AL$19=1</formula>
    </cfRule>
    <cfRule type="cellIs" dxfId="155" priority="77" operator="equal">
      <formula>0</formula>
    </cfRule>
  </conditionalFormatting>
  <conditionalFormatting sqref="AF62 AI62">
    <cfRule type="expression" priority="2061" stopIfTrue="1">
      <formula>$AM$62=2</formula>
    </cfRule>
    <cfRule type="expression" dxfId="154" priority="2062">
      <formula>$AM$62=1</formula>
    </cfRule>
  </conditionalFormatting>
  <conditionalFormatting sqref="AF127 AI127">
    <cfRule type="expression" priority="127" stopIfTrue="1">
      <formula>$AL$73=2</formula>
    </cfRule>
  </conditionalFormatting>
  <conditionalFormatting sqref="AF135 AI135">
    <cfRule type="expression" priority="9">
      <formula>$AL135=2</formula>
    </cfRule>
    <cfRule type="expression" dxfId="153" priority="10">
      <formula>$AL135=1</formula>
    </cfRule>
  </conditionalFormatting>
  <conditionalFormatting sqref="AF137 AI137 AF139 AI139">
    <cfRule type="expression" dxfId="152" priority="37">
      <formula>$AO137=1</formula>
    </cfRule>
  </conditionalFormatting>
  <conditionalFormatting sqref="AF31:AH36">
    <cfRule type="expression" dxfId="151" priority="178">
      <formula>ISBLANK($AF31)</formula>
    </cfRule>
  </conditionalFormatting>
  <conditionalFormatting sqref="AF44:AH49">
    <cfRule type="expression" dxfId="150" priority="177">
      <formula>ISBLANK($AF44)</formula>
    </cfRule>
  </conditionalFormatting>
  <conditionalFormatting sqref="AF60:AH60 AF64:AH64">
    <cfRule type="expression" dxfId="149" priority="403">
      <formula>ISBLANK(AF60)</formula>
    </cfRule>
  </conditionalFormatting>
  <conditionalFormatting sqref="AG164:AG169">
    <cfRule type="expression" dxfId="148" priority="40">
      <formula>ISBLANK(AG164)</formula>
    </cfRule>
    <cfRule type="expression" dxfId="147" priority="41">
      <formula>$AN164=1</formula>
    </cfRule>
  </conditionalFormatting>
  <conditionalFormatting sqref="AG66:AI67 J66:M67">
    <cfRule type="cellIs" priority="392" stopIfTrue="1" operator="greaterThan">
      <formula>0</formula>
    </cfRule>
  </conditionalFormatting>
  <conditionalFormatting sqref="AG164:AI169">
    <cfRule type="expression" dxfId="146" priority="42">
      <formula>$AO164=1</formula>
    </cfRule>
    <cfRule type="expression" dxfId="145" priority="43">
      <formula>$AP164=1</formula>
    </cfRule>
  </conditionalFormatting>
  <conditionalFormatting sqref="AI119 AF119">
    <cfRule type="expression" dxfId="144" priority="2162">
      <formula>$AL$119=1</formula>
    </cfRule>
  </conditionalFormatting>
  <conditionalFormatting sqref="AI119">
    <cfRule type="expression" dxfId="143" priority="3">
      <formula>$AM$119=2</formula>
    </cfRule>
  </conditionalFormatting>
  <conditionalFormatting sqref="AI127 AF127">
    <cfRule type="expression" dxfId="142" priority="430">
      <formula>$AM$127=1</formula>
    </cfRule>
  </conditionalFormatting>
  <conditionalFormatting sqref="AI127">
    <cfRule type="expression" dxfId="141" priority="330" stopIfTrue="1">
      <formula>$AN$127=2</formula>
    </cfRule>
  </conditionalFormatting>
  <conditionalFormatting sqref="AI137 AI139">
    <cfRule type="expression" dxfId="140" priority="38">
      <formula>$AP137=2</formula>
    </cfRule>
  </conditionalFormatting>
  <conditionalFormatting sqref="AI141 AF141">
    <cfRule type="expression" dxfId="139" priority="441">
      <formula>$AL$141=1</formula>
    </cfRule>
  </conditionalFormatting>
  <conditionalFormatting sqref="AI141">
    <cfRule type="expression" dxfId="138" priority="2">
      <formula>$AN$141=2</formula>
    </cfRule>
  </conditionalFormatting>
  <dataValidations count="2">
    <dataValidation type="list" allowBlank="1" showInputMessage="1" showErrorMessage="1" sqref="S66:U66 P119:R119 F125:I125 O143:Q143 F127:I133" xr:uid="{2132A64C-F549-49EE-B00F-7C82B1EA9EDD}">
      <formula1>Shape</formula1>
    </dataValidation>
    <dataValidation type="list" allowBlank="1" showInputMessage="1" showErrorMessage="1" sqref="J66:M66 Q69:T69 F119:I119 F143:I143 N114 N116 Q71" xr:uid="{FEBCC3A8-EC37-41E3-A974-DC1AE946D1B3}">
      <formula1>Material</formula1>
    </dataValidation>
  </dataValidations>
  <pageMargins left="0.2" right="0.2" top="0.5" bottom="0.25" header="0.3" footer="0.3"/>
  <pageSetup orientation="portrait" r:id="rId1"/>
  <rowBreaks count="4" manualBreakCount="4">
    <brk id="55" max="16383" man="1"/>
    <brk id="109" max="16383" man="1"/>
    <brk id="159" max="16383" man="1"/>
    <brk id="212" max="16383" man="1"/>
  </rowBreaks>
  <colBreaks count="1" manualBreakCount="1">
    <brk id="42" max="1048575" man="1"/>
  </colBreaks>
  <drawing r:id="rId2"/>
  <legacyDrawing r:id="rId3"/>
  <legacyDrawingHF r:id="rId4"/>
  <extLst>
    <ext xmlns:x14="http://schemas.microsoft.com/office/spreadsheetml/2009/9/main" uri="{CCE6A557-97BC-4b89-ADB6-D9C93CAAB3DF}">
      <x14:dataValidations xmlns:xm="http://schemas.microsoft.com/office/excel/2006/main" count="6">
        <x14:dataValidation type="list" allowBlank="1" showInputMessage="1" showErrorMessage="1" xr:uid="{0A75D05C-E913-4A6F-B739-B4602DDB4488}">
          <x14:formula1>
            <xm:f>Tables!$H$2:$H$4</xm:f>
          </x14:formula1>
          <xm:sqref>C129:C133</xm:sqref>
        </x14:dataValidation>
        <x14:dataValidation type="list" allowBlank="1" showInputMessage="1" showErrorMessage="1" xr:uid="{5E02C0C2-0DD2-4D71-8FFC-B7382509F98F}">
          <x14:formula1>
            <xm:f>Tables!$H$2:$H$5</xm:f>
          </x14:formula1>
          <xm:sqref>C128:E128</xm:sqref>
        </x14:dataValidation>
        <x14:dataValidation type="list" allowBlank="1" showInputMessage="1" showErrorMessage="1" xr:uid="{85204C5B-4F59-4419-8287-C64F6D6740E9}">
          <x14:formula1>
            <xm:f>Tables!$H$9:$H$14</xm:f>
          </x14:formula1>
          <xm:sqref>F137</xm:sqref>
        </x14:dataValidation>
        <x14:dataValidation type="custom" allowBlank="1" showInputMessage="1" showErrorMessage="1" errorTitle="Workbook Locked" error="On the License Tab, accept the conditions to use this form._x000a__x000a_                     OR_x000a__x000a_This form has expired.  Please obtain the latest version of this form." xr:uid="{7298EBA6-81EF-4BBF-82FB-AE2E25DF589E}">
          <x14:formula1>
            <xm:f>Tables!$B$8</xm:f>
          </x14:formula1>
          <xm:sqref>L194 AE7:AJ8 E7:X8 F10 F12 M10 M12 U10 U12 AC10 G16 J16 J18:M22 AA16:AD17 Z25 AC25 AF25 AI25 L27:N36 P27:R36 T27:V36 X27:Z36 AB27:AD36 AF28:AH28 AF31:AH36 L40:N49 P40:R49 T40:V49 X40:Z49 AB40:AD49 AF41:AH41 AF44:AH49 J60 P60 J62 M62 P62 S62 AF60:AH60 AF62 AI62 AF64:AH64 B64 J67:M67 S67:U67 Z66:AB67 AG66:AI67 J69 Z69:AB69 Q70:S70 J71 Z71:AB71 AG71:AI71 B73 K73 O73 T73 Y73 Y75 AC75:AJ75 K77:O77 S77:U77 Z77:AB77 AG77:AI77 H79 K79 P79:T79 H81 K81 P81:T81 M84:O88 R84:T88 W84:Y88 M91:O92 R91:T92 W91:Y94 AB91:AD92 O95:Q95 K97:M97 O97:Q97 K99 N99 K101:M101 O101:Q101 K103 N103 K105:M105 O105:Q105 K107 N107 T97:V97 T99:V99 T101:V101 T103:V103 T105:V105 T107:V107 Y107:AA107 Y105:AA105 Y103:AA103 Y101:AA101 Y99:AA99 Y97:AA97 AD97:AF97 AD101:AF101 AD105:AF105 I114 I116 T114:V114 T116:V116 Y114:AA114 AD116:AF116 F120:I122 P121:R122 K125:M125 P125:R125 U125:W125 Z125:AB125 AE125:AG125 P127:R133 U127:W133 M139 AF127 AI127 O196 R196 C208 F208 AF141 AI141 K141 O141 F144:I144 O144:Q144 W144:Y144 AF144:AH144 O146:R146 W146:Z146 AF137 AI137 AI139 AF139 K127:M133 F139 AC169:AE169 C150:E156 H150:J156 M150:P156 S150:U157 X150:Z156 AC150:AF157 I164:K169 M164:O169 Q164:S169 U164:W169 Y164:AA169 AC6 AG164:AI169 B172:AJ178 C182 F182 C184 F184 I186 L186 I188 L188 O190 R190 O192 R192 C200 F200 C202 F202 C204 F204 I206 L206 F225:Z227 F228:L228 P228:S228 X228:Z228 F229:Z229 F230:J230 AD232:AH232 I194 T139 F14 T14 C53 F53 AF119 AI119 AF135 AI135</xm:sqref>
        </x14:dataValidation>
        <x14:dataValidation type="list" allowBlank="1" showInputMessage="1" showErrorMessage="1" xr:uid="{547B4046-2924-4893-9621-247A9F81D2AD}">
          <x14:formula1>
            <xm:f>Tables!$K$27:$K$30</xm:f>
          </x14:formula1>
          <xm:sqref>R198</xm:sqref>
        </x14:dataValidation>
        <x14:dataValidation type="list" allowBlank="1" showInputMessage="1" showErrorMessage="1" xr:uid="{53F9AD8F-8779-4353-887E-8AD6B8699C74}">
          <x14:formula1>
            <xm:f>Tables!$H$18:$H$22</xm:f>
          </x14:formula1>
          <xm:sqref>T137:U137</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440FC-239C-4B7E-928C-842CA3520C8D}">
  <sheetPr codeName="Sheet6">
    <tabColor theme="8" tint="0.39997558519241921"/>
  </sheetPr>
  <dimension ref="A1:CI314"/>
  <sheetViews>
    <sheetView showGridLines="0" showRowColHeaders="0" showZeros="0" zoomScale="150" zoomScaleNormal="150" workbookViewId="0">
      <selection activeCell="AF7" sqref="AF7:AK7"/>
    </sheetView>
  </sheetViews>
  <sheetFormatPr defaultColWidth="0" defaultRowHeight="0" customHeight="1" zeroHeight="1" x14ac:dyDescent="0.3"/>
  <cols>
    <col min="1" max="9" width="2.6640625" style="28" customWidth="1"/>
    <col min="10" max="10" width="2.77734375" style="28" customWidth="1"/>
    <col min="11" max="11" width="2.6640625" style="28" customWidth="1"/>
    <col min="12" max="12" width="3.77734375" style="28" customWidth="1"/>
    <col min="13" max="13" width="1.77734375" style="28" customWidth="1"/>
    <col min="14" max="29" width="2.6640625" style="28" customWidth="1"/>
    <col min="30" max="30" width="2.77734375" style="28" customWidth="1"/>
    <col min="31" max="31" width="2.6640625" style="28" customWidth="1"/>
    <col min="32" max="32" width="2.77734375" style="28" customWidth="1"/>
    <col min="33" max="38" width="2.6640625" style="28" customWidth="1"/>
    <col min="39" max="39" width="13.21875" style="13" hidden="1" customWidth="1"/>
    <col min="40" max="41" width="8.5546875" style="13" hidden="1" customWidth="1"/>
    <col min="42" max="42" width="9.109375" style="22" hidden="1" customWidth="1"/>
    <col min="43" max="44" width="7.21875" style="22" hidden="1" customWidth="1"/>
    <col min="45" max="46" width="11.21875" style="22" hidden="1" customWidth="1"/>
    <col min="47" max="47" width="3.77734375" style="28" customWidth="1"/>
    <col min="48" max="48" width="2.77734375" style="23" customWidth="1"/>
    <col min="49" max="82" width="2.77734375" style="28" customWidth="1"/>
    <col min="83" max="85" width="8.88671875" style="28" hidden="1" customWidth="1"/>
    <col min="86" max="87" width="0" style="28" hidden="1" customWidth="1"/>
    <col min="88" max="16384" width="8.88671875" style="28" hidden="1"/>
  </cols>
  <sheetData>
    <row r="1" spans="1:85" ht="15" customHeight="1" x14ac:dyDescent="0.3">
      <c r="N1" s="3"/>
      <c r="O1" s="3"/>
      <c r="P1" s="3"/>
      <c r="Q1" s="3"/>
      <c r="R1" s="24"/>
      <c r="T1" s="224" t="s">
        <v>182</v>
      </c>
      <c r="U1" s="224"/>
      <c r="V1" s="224"/>
      <c r="W1" s="224"/>
      <c r="X1" s="224"/>
      <c r="Y1" s="224"/>
      <c r="Z1" s="224"/>
      <c r="AA1" s="224"/>
      <c r="AB1" s="224"/>
      <c r="AC1" s="224"/>
      <c r="AD1" s="224"/>
      <c r="AE1" s="224"/>
      <c r="AF1" s="224"/>
      <c r="AG1" s="224"/>
      <c r="AH1" s="224"/>
      <c r="AI1" s="224"/>
      <c r="AJ1" s="224"/>
      <c r="AK1" s="224"/>
      <c r="AL1" s="224"/>
      <c r="BH1" s="24"/>
      <c r="BI1" s="24"/>
      <c r="BJ1" s="24"/>
      <c r="BK1" s="224" t="str">
        <f>T1</f>
        <v>Form 3C - Underground Detention
As-Built Certification Form</v>
      </c>
      <c r="BL1" s="224"/>
      <c r="BM1" s="224"/>
      <c r="BN1" s="224"/>
      <c r="BO1" s="224"/>
      <c r="BP1" s="224"/>
      <c r="BQ1" s="224"/>
      <c r="BR1" s="224"/>
      <c r="BS1" s="224"/>
      <c r="BT1" s="224"/>
      <c r="BU1" s="224"/>
      <c r="BV1" s="224"/>
      <c r="BW1" s="224"/>
      <c r="BX1" s="224"/>
      <c r="BY1" s="224"/>
      <c r="BZ1" s="224"/>
      <c r="CA1" s="224"/>
      <c r="CB1" s="224"/>
      <c r="CC1" s="24"/>
      <c r="CD1" s="69"/>
      <c r="CE1" s="24"/>
      <c r="CF1" s="24"/>
      <c r="CG1" s="24"/>
    </row>
    <row r="2" spans="1:85" ht="15" customHeight="1" x14ac:dyDescent="0.3">
      <c r="J2" s="3"/>
      <c r="K2" s="3"/>
      <c r="L2" s="3"/>
      <c r="M2" s="3"/>
      <c r="N2" s="3"/>
      <c r="O2" s="3"/>
      <c r="P2" s="3"/>
      <c r="Q2" s="3"/>
      <c r="R2" s="24"/>
      <c r="S2" s="24"/>
      <c r="T2" s="224"/>
      <c r="U2" s="224"/>
      <c r="V2" s="224"/>
      <c r="W2" s="224"/>
      <c r="X2" s="224"/>
      <c r="Y2" s="224"/>
      <c r="Z2" s="224"/>
      <c r="AA2" s="224"/>
      <c r="AB2" s="224"/>
      <c r="AC2" s="224"/>
      <c r="AD2" s="224"/>
      <c r="AE2" s="224"/>
      <c r="AF2" s="224"/>
      <c r="AG2" s="224"/>
      <c r="AH2" s="224"/>
      <c r="AI2" s="224"/>
      <c r="AJ2" s="224"/>
      <c r="AK2" s="224"/>
      <c r="AL2" s="224"/>
      <c r="BG2" s="24"/>
      <c r="BH2" s="24"/>
      <c r="BI2" s="24"/>
      <c r="BJ2" s="24"/>
      <c r="BK2" s="224"/>
      <c r="BL2" s="224"/>
      <c r="BM2" s="224"/>
      <c r="BN2" s="224"/>
      <c r="BO2" s="224"/>
      <c r="BP2" s="224"/>
      <c r="BQ2" s="224"/>
      <c r="BR2" s="224"/>
      <c r="BS2" s="224"/>
      <c r="BT2" s="224"/>
      <c r="BU2" s="224"/>
      <c r="BV2" s="224"/>
      <c r="BW2" s="224"/>
      <c r="BX2" s="224"/>
      <c r="BY2" s="224"/>
      <c r="BZ2" s="224"/>
      <c r="CA2" s="224"/>
      <c r="CB2" s="224"/>
      <c r="CC2" s="24"/>
      <c r="CD2" s="69"/>
      <c r="CE2" s="24"/>
      <c r="CF2" s="24"/>
      <c r="CG2" s="24"/>
    </row>
    <row r="3" spans="1:85" ht="15" customHeight="1" x14ac:dyDescent="0.3">
      <c r="J3" s="3"/>
      <c r="S3" s="24"/>
      <c r="T3" s="224"/>
      <c r="U3" s="224"/>
      <c r="V3" s="224"/>
      <c r="W3" s="224"/>
      <c r="X3" s="224"/>
      <c r="Y3" s="224"/>
      <c r="Z3" s="224"/>
      <c r="AA3" s="224"/>
      <c r="AB3" s="224"/>
      <c r="AC3" s="224"/>
      <c r="AD3" s="224"/>
      <c r="AE3" s="224"/>
      <c r="AF3" s="224"/>
      <c r="AG3" s="224"/>
      <c r="AH3" s="224"/>
      <c r="AI3" s="224"/>
      <c r="AJ3" s="224"/>
      <c r="AK3" s="224"/>
      <c r="AL3" s="224"/>
      <c r="BG3" s="24"/>
      <c r="BH3" s="24"/>
      <c r="BI3" s="24"/>
      <c r="BJ3" s="24"/>
      <c r="BK3" s="224"/>
      <c r="BL3" s="224"/>
      <c r="BM3" s="224"/>
      <c r="BN3" s="224"/>
      <c r="BO3" s="224"/>
      <c r="BP3" s="224"/>
      <c r="BQ3" s="224"/>
      <c r="BR3" s="224"/>
      <c r="BS3" s="224"/>
      <c r="BT3" s="224"/>
      <c r="BU3" s="224"/>
      <c r="BV3" s="224"/>
      <c r="BW3" s="224"/>
      <c r="BX3" s="224"/>
      <c r="BY3" s="224"/>
      <c r="BZ3" s="224"/>
      <c r="CA3" s="224"/>
      <c r="CB3" s="224"/>
      <c r="CC3" s="24"/>
      <c r="CD3" s="69"/>
      <c r="CE3" s="24"/>
      <c r="CF3" s="24"/>
      <c r="CG3" s="24"/>
    </row>
    <row r="4" spans="1:85" ht="15" customHeight="1" x14ac:dyDescent="0.3">
      <c r="J4" s="3"/>
      <c r="K4" s="3"/>
      <c r="L4" s="3"/>
      <c r="M4" s="3"/>
      <c r="N4" s="3"/>
      <c r="O4" s="3"/>
      <c r="P4" s="3"/>
      <c r="Q4" s="3"/>
      <c r="R4" s="24"/>
      <c r="S4" s="24"/>
      <c r="T4" s="224"/>
      <c r="U4" s="224"/>
      <c r="V4" s="224"/>
      <c r="W4" s="224"/>
      <c r="X4" s="224"/>
      <c r="Y4" s="224"/>
      <c r="Z4" s="224"/>
      <c r="AA4" s="224"/>
      <c r="AB4" s="224"/>
      <c r="AC4" s="224"/>
      <c r="AD4" s="224"/>
      <c r="AE4" s="224"/>
      <c r="AF4" s="224"/>
      <c r="AG4" s="224"/>
      <c r="AH4" s="224"/>
      <c r="AI4" s="224"/>
      <c r="AJ4" s="224"/>
      <c r="AK4" s="224"/>
      <c r="AL4" s="224"/>
      <c r="BG4" s="24"/>
      <c r="BH4" s="24"/>
      <c r="BI4" s="24"/>
      <c r="BJ4" s="24"/>
      <c r="BK4" s="224"/>
      <c r="BL4" s="224"/>
      <c r="BM4" s="224"/>
      <c r="BN4" s="224"/>
      <c r="BO4" s="224"/>
      <c r="BP4" s="224"/>
      <c r="BQ4" s="224"/>
      <c r="BR4" s="224"/>
      <c r="BS4" s="224"/>
      <c r="BT4" s="224"/>
      <c r="BU4" s="224"/>
      <c r="BV4" s="224"/>
      <c r="BW4" s="224"/>
      <c r="BX4" s="224"/>
      <c r="BY4" s="224"/>
      <c r="BZ4" s="224"/>
      <c r="CA4" s="224"/>
      <c r="CB4" s="224"/>
      <c r="CC4" s="24"/>
      <c r="CD4" s="69"/>
      <c r="CE4" s="24"/>
      <c r="CF4" s="24"/>
      <c r="CG4" s="24"/>
    </row>
    <row r="5" spans="1:85" ht="4.95" customHeight="1" x14ac:dyDescent="0.3">
      <c r="J5" s="3"/>
      <c r="K5" s="3"/>
      <c r="L5" s="3"/>
      <c r="M5" s="3"/>
      <c r="N5" s="3"/>
      <c r="O5" s="3"/>
      <c r="P5" s="3"/>
      <c r="Q5" s="3"/>
      <c r="R5" s="25"/>
      <c r="S5" s="25"/>
      <c r="T5" s="25"/>
      <c r="U5" s="25"/>
      <c r="V5" s="25"/>
      <c r="W5" s="25"/>
      <c r="X5" s="25"/>
      <c r="Y5" s="25"/>
      <c r="Z5" s="25"/>
      <c r="AA5" s="25"/>
      <c r="AB5" s="25"/>
      <c r="AC5" s="25"/>
      <c r="AD5" s="25"/>
      <c r="AE5" s="25"/>
      <c r="AF5" s="25"/>
      <c r="AG5" s="25"/>
      <c r="AH5" s="25"/>
      <c r="AI5" s="25"/>
      <c r="AJ5" s="25"/>
      <c r="AK5" s="25"/>
    </row>
    <row r="6" spans="1:85" ht="15" customHeight="1" x14ac:dyDescent="0.3">
      <c r="A6" s="1" t="s">
        <v>0</v>
      </c>
      <c r="C6" s="1"/>
      <c r="D6" s="1"/>
      <c r="E6" s="1"/>
      <c r="F6" s="1"/>
      <c r="G6" s="1"/>
      <c r="H6" s="1"/>
      <c r="I6" s="1"/>
      <c r="AC6" s="2" t="s">
        <v>416</v>
      </c>
      <c r="AD6" s="226">
        <f>'Form 2C.1 - Design'!AC6</f>
        <v>0</v>
      </c>
      <c r="AE6" s="226"/>
      <c r="AF6" s="226"/>
      <c r="AG6" s="226"/>
      <c r="AH6" s="226"/>
      <c r="AI6" s="226"/>
      <c r="AJ6" s="226"/>
      <c r="AK6" s="226"/>
      <c r="AM6" s="94">
        <f>LEN(AD6)</f>
        <v>1</v>
      </c>
      <c r="AV6" s="221" t="s">
        <v>67</v>
      </c>
      <c r="AW6" s="221"/>
      <c r="AX6" s="221"/>
      <c r="AY6" s="221"/>
      <c r="AZ6" s="221"/>
      <c r="BA6" s="221"/>
      <c r="BB6" s="221"/>
      <c r="BC6" s="221"/>
      <c r="BD6" s="221"/>
      <c r="BE6" s="221"/>
      <c r="BF6" s="221"/>
      <c r="BG6" s="221"/>
      <c r="BH6" s="221"/>
      <c r="BI6" s="221"/>
      <c r="BZ6" s="27"/>
      <c r="CA6" s="27"/>
      <c r="CB6" s="27"/>
      <c r="CC6" s="27"/>
      <c r="CD6" s="27"/>
    </row>
    <row r="7" spans="1:85" ht="15" customHeight="1" x14ac:dyDescent="0.3">
      <c r="C7" s="2"/>
      <c r="D7" s="2" t="s">
        <v>1</v>
      </c>
      <c r="E7" s="188">
        <f>'Form 2C.1 - Design'!$E$7</f>
        <v>0</v>
      </c>
      <c r="F7" s="188"/>
      <c r="G7" s="188"/>
      <c r="H7" s="188"/>
      <c r="I7" s="188"/>
      <c r="J7" s="188"/>
      <c r="K7" s="188"/>
      <c r="L7" s="188"/>
      <c r="M7" s="188"/>
      <c r="N7" s="188"/>
      <c r="O7" s="188"/>
      <c r="P7" s="188"/>
      <c r="Q7" s="188"/>
      <c r="R7" s="188"/>
      <c r="S7" s="188"/>
      <c r="T7" s="188"/>
      <c r="U7" s="188"/>
      <c r="V7" s="188"/>
      <c r="W7" s="188"/>
      <c r="X7" s="188"/>
      <c r="Y7" s="188"/>
      <c r="Z7" s="188"/>
      <c r="AE7" s="2" t="s">
        <v>19</v>
      </c>
      <c r="AF7" s="248"/>
      <c r="AG7" s="248"/>
      <c r="AH7" s="248"/>
      <c r="AI7" s="248"/>
      <c r="AJ7" s="248"/>
      <c r="AK7" s="248"/>
      <c r="AV7" s="221"/>
      <c r="AW7" s="221"/>
      <c r="AX7" s="221"/>
      <c r="AY7" s="221"/>
      <c r="AZ7" s="221"/>
      <c r="BA7" s="221"/>
      <c r="BB7" s="221"/>
      <c r="BC7" s="221"/>
      <c r="BD7" s="221"/>
      <c r="BE7" s="221"/>
      <c r="BF7" s="221"/>
      <c r="BG7" s="221"/>
      <c r="BH7" s="221"/>
      <c r="BI7" s="221"/>
      <c r="BJ7" s="66"/>
      <c r="BK7" s="66"/>
      <c r="BL7" s="66"/>
      <c r="BM7" s="66"/>
      <c r="BN7" s="66"/>
      <c r="BO7" s="66"/>
      <c r="BP7" s="66"/>
      <c r="BQ7" s="66"/>
      <c r="BR7" s="66"/>
      <c r="BS7" s="66"/>
      <c r="BT7" s="66"/>
      <c r="BU7" s="66"/>
      <c r="BV7" s="66"/>
      <c r="BW7" s="66"/>
      <c r="BX7" s="66"/>
      <c r="BY7" s="66"/>
      <c r="BZ7" s="66"/>
      <c r="CA7" s="66"/>
      <c r="CB7" s="66"/>
      <c r="CC7" s="66"/>
      <c r="CD7" s="66"/>
    </row>
    <row r="8" spans="1:85" ht="15" customHeight="1" x14ac:dyDescent="0.3">
      <c r="C8" s="2"/>
      <c r="D8" s="2" t="s">
        <v>18</v>
      </c>
      <c r="E8" s="244">
        <f>'Form 2C.1 - Design'!$E$8</f>
        <v>0</v>
      </c>
      <c r="F8" s="244"/>
      <c r="G8" s="244"/>
      <c r="H8" s="244"/>
      <c r="I8" s="244"/>
      <c r="J8" s="244"/>
      <c r="K8" s="244"/>
      <c r="L8" s="244"/>
      <c r="M8" s="244"/>
      <c r="N8" s="244"/>
      <c r="O8" s="244"/>
      <c r="P8" s="244"/>
      <c r="Q8" s="244"/>
      <c r="R8" s="244"/>
      <c r="S8" s="244"/>
      <c r="T8" s="244"/>
      <c r="U8" s="244"/>
      <c r="V8" s="244"/>
      <c r="W8" s="244"/>
      <c r="X8" s="244"/>
      <c r="Y8" s="244"/>
      <c r="Z8" s="244"/>
      <c r="AE8" s="2" t="s">
        <v>32</v>
      </c>
      <c r="AF8" s="187">
        <f>'Form 2C.1 - Design'!AE8</f>
        <v>0</v>
      </c>
      <c r="AG8" s="187"/>
      <c r="AH8" s="187"/>
      <c r="AI8" s="187"/>
      <c r="AJ8" s="187"/>
      <c r="AK8" s="187"/>
      <c r="AV8" s="23">
        <v>1</v>
      </c>
      <c r="AW8" s="74" t="s">
        <v>91</v>
      </c>
      <c r="BD8" s="66"/>
      <c r="BE8" s="66"/>
      <c r="BF8" s="66"/>
      <c r="BG8" s="66"/>
      <c r="BH8" s="66"/>
      <c r="BI8" s="66"/>
      <c r="BJ8" s="66"/>
      <c r="BK8" s="66"/>
      <c r="BL8" s="66"/>
      <c r="BM8" s="66"/>
      <c r="BN8" s="66"/>
      <c r="BO8" s="66"/>
      <c r="BP8" s="66"/>
      <c r="BQ8" s="66"/>
      <c r="BR8" s="66"/>
      <c r="BS8" s="66"/>
      <c r="BT8" s="66"/>
      <c r="BU8" s="66"/>
      <c r="BV8" s="66"/>
      <c r="BW8" s="66"/>
      <c r="BX8" s="66"/>
      <c r="BY8" s="66"/>
      <c r="BZ8" s="66"/>
      <c r="CA8" s="66"/>
      <c r="CB8" s="66"/>
      <c r="CC8" s="66"/>
      <c r="CD8" s="66"/>
    </row>
    <row r="9" spans="1:85" ht="15" customHeight="1" x14ac:dyDescent="0.3">
      <c r="H9" s="2"/>
      <c r="I9" s="2"/>
      <c r="AW9" s="4" t="s">
        <v>93</v>
      </c>
      <c r="AX9" s="74" t="s">
        <v>233</v>
      </c>
      <c r="AY9" s="84"/>
      <c r="AZ9" s="84"/>
      <c r="BA9" s="84"/>
      <c r="BB9" s="66"/>
      <c r="BC9" s="66"/>
      <c r="CB9" s="27"/>
      <c r="CC9" s="27"/>
      <c r="CD9" s="27"/>
    </row>
    <row r="10" spans="1:85" ht="15" customHeight="1" x14ac:dyDescent="0.3">
      <c r="B10" s="28" t="s">
        <v>114</v>
      </c>
      <c r="G10" s="161"/>
      <c r="H10" s="28" t="s">
        <v>111</v>
      </c>
      <c r="O10" s="161"/>
      <c r="P10" s="28" t="s">
        <v>112</v>
      </c>
      <c r="W10" s="4"/>
      <c r="X10" s="4"/>
      <c r="AA10" s="161"/>
      <c r="AB10" s="28" t="str">
        <f>Tables!F24</f>
        <v xml:space="preserve"> O&amp;M Agreement</v>
      </c>
      <c r="AW10" s="4" t="s">
        <v>94</v>
      </c>
      <c r="AX10" s="74" t="s">
        <v>92</v>
      </c>
      <c r="AY10" s="84"/>
      <c r="AZ10" s="84"/>
      <c r="BA10" s="84"/>
      <c r="BB10" s="66"/>
      <c r="BC10" s="66"/>
      <c r="BD10"/>
      <c r="BE10"/>
      <c r="BF10"/>
      <c r="BG10"/>
      <c r="BH10"/>
      <c r="BI10"/>
      <c r="BJ10"/>
      <c r="BK10"/>
      <c r="BL10"/>
      <c r="BM10"/>
      <c r="BN10"/>
      <c r="BO10"/>
      <c r="BP10"/>
      <c r="BQ10"/>
      <c r="BR10"/>
      <c r="BS10"/>
      <c r="BT10"/>
      <c r="BU10"/>
      <c r="BV10"/>
      <c r="BW10"/>
      <c r="BX10"/>
      <c r="BY10"/>
      <c r="BZ10" s="27"/>
      <c r="CA10" s="27"/>
      <c r="CB10" s="27"/>
      <c r="CC10" s="27"/>
      <c r="CD10" s="27"/>
    </row>
    <row r="11" spans="1:85" ht="4.95" customHeight="1" x14ac:dyDescent="0.3">
      <c r="CB11" s="27"/>
      <c r="CC11" s="27"/>
      <c r="CD11" s="27"/>
    </row>
    <row r="12" spans="1:85" ht="15" customHeight="1" x14ac:dyDescent="0.3">
      <c r="G12" s="161"/>
      <c r="H12" s="28" t="s">
        <v>552</v>
      </c>
      <c r="J12" s="2"/>
      <c r="K12" s="2"/>
      <c r="AA12" s="161"/>
      <c r="AB12" s="28" t="s">
        <v>165</v>
      </c>
      <c r="AV12" s="23">
        <v>2</v>
      </c>
      <c r="AW12" s="74" t="s">
        <v>432</v>
      </c>
      <c r="CB12" s="27"/>
      <c r="CC12" s="27"/>
      <c r="CD12" s="27"/>
    </row>
    <row r="13" spans="1:85" ht="15" customHeight="1" x14ac:dyDescent="0.3">
      <c r="AW13" s="4" t="s">
        <v>93</v>
      </c>
      <c r="AX13" s="84" t="s">
        <v>271</v>
      </c>
      <c r="CB13" s="27"/>
      <c r="CC13" s="27"/>
      <c r="CD13" s="27"/>
    </row>
    <row r="14" spans="1:85" ht="15" customHeight="1" x14ac:dyDescent="0.3">
      <c r="A14" s="239" t="s">
        <v>186</v>
      </c>
      <c r="B14" s="239"/>
      <c r="C14" s="239"/>
      <c r="D14" s="239"/>
      <c r="E14" s="239"/>
      <c r="F14" s="239"/>
      <c r="G14" s="239"/>
      <c r="H14" s="239"/>
      <c r="I14" s="239"/>
      <c r="J14" s="239"/>
      <c r="K14" s="239"/>
      <c r="L14" s="239"/>
      <c r="M14" s="239"/>
      <c r="N14" s="239"/>
      <c r="O14" s="239"/>
      <c r="P14" s="239"/>
      <c r="Q14" s="239"/>
      <c r="R14" s="239"/>
      <c r="S14" s="239"/>
      <c r="T14" s="239"/>
      <c r="U14" s="239"/>
      <c r="V14" s="239"/>
      <c r="W14" s="239"/>
      <c r="X14" s="239"/>
      <c r="Y14" s="239"/>
      <c r="Z14" s="239"/>
      <c r="AA14" s="239"/>
      <c r="AB14" s="239"/>
      <c r="AC14" s="239"/>
      <c r="AD14" s="239"/>
      <c r="AE14" s="239"/>
      <c r="AF14" s="239"/>
      <c r="AG14" s="239"/>
      <c r="AH14" s="239"/>
      <c r="AI14" s="239"/>
      <c r="AJ14" s="239"/>
      <c r="AK14" s="239"/>
      <c r="AL14" s="239"/>
      <c r="AX14" s="84" t="s">
        <v>272</v>
      </c>
      <c r="AY14" s="74"/>
      <c r="AZ14" s="74"/>
      <c r="BA14" s="74"/>
      <c r="BB14"/>
      <c r="BC14"/>
      <c r="BD14" s="66"/>
      <c r="BE14" s="66"/>
      <c r="BF14" s="66"/>
      <c r="BG14" s="66"/>
      <c r="BH14" s="66"/>
      <c r="BI14" s="66"/>
      <c r="BJ14" s="66"/>
      <c r="BK14" s="66"/>
      <c r="BL14" s="66"/>
      <c r="BM14" s="66"/>
      <c r="BN14" s="66"/>
      <c r="BO14" s="66"/>
      <c r="BP14" s="66"/>
      <c r="BQ14" s="66"/>
      <c r="BR14" s="66"/>
      <c r="BS14" s="66"/>
      <c r="BT14" s="66"/>
      <c r="BU14" s="66"/>
      <c r="BV14" s="66"/>
      <c r="BW14" s="66"/>
      <c r="BX14" s="66"/>
      <c r="BY14" s="66"/>
      <c r="BZ14" s="66"/>
      <c r="CA14" s="66"/>
      <c r="CB14" s="66"/>
      <c r="CC14" s="66"/>
      <c r="CD14" s="66"/>
    </row>
    <row r="15" spans="1:85" ht="15" customHeight="1" x14ac:dyDescent="0.3">
      <c r="B15" s="1" t="s">
        <v>54</v>
      </c>
      <c r="C15" s="1"/>
      <c r="D15" s="1"/>
      <c r="E15" s="1"/>
      <c r="F15" s="1"/>
      <c r="G15" s="1"/>
      <c r="I15" s="1"/>
      <c r="J15" s="1"/>
      <c r="K15" s="1"/>
      <c r="L15" s="1"/>
      <c r="M15" s="1"/>
      <c r="N15" s="1"/>
      <c r="O15" s="1"/>
      <c r="P15" s="1"/>
      <c r="Q15" s="1"/>
      <c r="R15" s="1"/>
      <c r="S15" s="64"/>
      <c r="T15" s="30"/>
      <c r="U15" s="1" t="s">
        <v>55</v>
      </c>
      <c r="V15" s="1"/>
      <c r="W15" s="1"/>
      <c r="X15" s="1"/>
      <c r="Y15" s="1"/>
      <c r="Z15" s="1"/>
      <c r="AA15" s="1"/>
      <c r="AB15" s="1"/>
      <c r="AD15" s="1"/>
      <c r="AE15" s="1"/>
      <c r="AF15" s="1"/>
      <c r="AG15" s="1"/>
      <c r="AI15" s="61"/>
      <c r="AJ15" s="61"/>
      <c r="AW15" s="4" t="s">
        <v>94</v>
      </c>
      <c r="AX15" s="74" t="s">
        <v>96</v>
      </c>
      <c r="BD15" s="66"/>
      <c r="BE15" s="66"/>
      <c r="BF15" s="66"/>
      <c r="BG15" s="66"/>
      <c r="BH15" s="66"/>
      <c r="BI15" s="66"/>
      <c r="BJ15" s="66"/>
      <c r="BK15" s="66"/>
      <c r="BL15" s="66"/>
      <c r="BM15" s="66"/>
      <c r="BN15" s="66"/>
      <c r="BO15" s="66"/>
      <c r="BP15" s="66"/>
      <c r="BQ15" s="66"/>
      <c r="BR15" s="66"/>
      <c r="BS15" s="66"/>
      <c r="BT15" s="66"/>
      <c r="BU15" s="66"/>
      <c r="BV15" s="66"/>
      <c r="BW15" s="66"/>
      <c r="BX15" s="66"/>
      <c r="BY15" s="66"/>
      <c r="BZ15" s="66"/>
      <c r="CA15" s="66"/>
      <c r="CB15" s="66"/>
      <c r="CC15" s="66"/>
      <c r="CD15" s="66"/>
    </row>
    <row r="16" spans="1:85" ht="4.95" customHeight="1" x14ac:dyDescent="0.3">
      <c r="S16" s="64"/>
      <c r="AI16" s="12"/>
      <c r="AJ16" s="12"/>
      <c r="AY16" s="84"/>
      <c r="AZ16" s="84"/>
      <c r="BA16" s="84"/>
      <c r="BB16" s="66"/>
      <c r="BC16" s="66"/>
      <c r="CB16" s="27"/>
      <c r="CC16" s="27"/>
      <c r="CD16" s="27"/>
    </row>
    <row r="17" spans="2:82" ht="15" customHeight="1" x14ac:dyDescent="0.3">
      <c r="B17" s="162">
        <f>'Form 2C.1 - Design'!B64</f>
        <v>0</v>
      </c>
      <c r="C17" s="80" t="s">
        <v>197</v>
      </c>
      <c r="M17" s="2" t="s">
        <v>206</v>
      </c>
      <c r="N17" s="234">
        <f>'Form 2C.1 - Design'!J67</f>
        <v>0</v>
      </c>
      <c r="O17" s="230"/>
      <c r="P17" s="230"/>
      <c r="Q17" s="230"/>
      <c r="R17" s="28" t="s">
        <v>205</v>
      </c>
      <c r="S17" s="64"/>
      <c r="U17" s="161"/>
      <c r="V17" s="80" t="s">
        <v>197</v>
      </c>
      <c r="AF17" s="2" t="s">
        <v>206</v>
      </c>
      <c r="AG17" s="179"/>
      <c r="AH17" s="179"/>
      <c r="AI17" s="179"/>
      <c r="AJ17" s="179"/>
      <c r="AK17" s="28" t="s">
        <v>205</v>
      </c>
      <c r="AM17" s="94">
        <f>IF(ISBLANK(U17),1,2)</f>
        <v>1</v>
      </c>
      <c r="AN17" s="94">
        <f>IF(AND(ISBLANK(U17),ISBLANK(U29)),1,2)</f>
        <v>1</v>
      </c>
      <c r="AO17" s="22"/>
      <c r="AW17" s="4" t="s">
        <v>103</v>
      </c>
      <c r="AX17" s="84" t="s">
        <v>376</v>
      </c>
      <c r="AY17" s="84"/>
      <c r="AZ17" s="84"/>
      <c r="BA17" s="84"/>
      <c r="BB17" s="66"/>
      <c r="BC17" s="66"/>
      <c r="BD17" s="66"/>
      <c r="BE17" s="66"/>
      <c r="BF17" s="66"/>
      <c r="BG17" s="66"/>
      <c r="BH17" s="66"/>
      <c r="BI17" s="66"/>
      <c r="BJ17" s="66"/>
      <c r="BK17" s="66"/>
      <c r="BL17" s="66"/>
      <c r="BM17" s="66"/>
      <c r="BN17" s="66"/>
      <c r="BO17" s="66"/>
      <c r="BP17" s="66"/>
      <c r="BQ17" s="66"/>
      <c r="BR17" s="66"/>
      <c r="BS17" s="66"/>
      <c r="BT17" s="66"/>
      <c r="BU17" s="66"/>
      <c r="BV17" s="66"/>
      <c r="BW17" s="66"/>
      <c r="BX17" s="66"/>
      <c r="BY17" s="66"/>
      <c r="BZ17" s="66"/>
      <c r="CA17" s="66"/>
      <c r="CB17" s="66"/>
      <c r="CC17" s="66"/>
      <c r="CD17" s="66"/>
    </row>
    <row r="18" spans="2:82" ht="15" customHeight="1" x14ac:dyDescent="0.3">
      <c r="F18" s="2" t="s">
        <v>157</v>
      </c>
      <c r="G18" s="231">
        <f>'Form 2C.1 - Design'!J66</f>
        <v>0</v>
      </c>
      <c r="H18" s="231"/>
      <c r="I18" s="231"/>
      <c r="J18" s="231"/>
      <c r="M18" s="2" t="s">
        <v>158</v>
      </c>
      <c r="N18" s="249">
        <f>'Form 2C.1 - Design'!S66</f>
        <v>0</v>
      </c>
      <c r="O18" s="249"/>
      <c r="P18" s="249"/>
      <c r="R18" s="1"/>
      <c r="S18" s="64"/>
      <c r="Y18" s="2" t="s">
        <v>157</v>
      </c>
      <c r="Z18" s="206"/>
      <c r="AA18" s="206"/>
      <c r="AB18" s="206"/>
      <c r="AC18" s="206"/>
      <c r="AF18" s="2" t="s">
        <v>158</v>
      </c>
      <c r="AG18" s="206"/>
      <c r="AH18" s="206"/>
      <c r="AI18" s="206"/>
      <c r="AK18" s="1"/>
      <c r="AX18" s="84" t="s">
        <v>377</v>
      </c>
      <c r="AY18" s="84"/>
      <c r="BD18" s="66"/>
      <c r="BE18" s="66"/>
      <c r="BF18" s="66"/>
      <c r="BG18" s="66"/>
      <c r="BH18" s="66"/>
      <c r="BI18" s="66"/>
      <c r="BJ18" s="66"/>
      <c r="BK18" s="66"/>
      <c r="BL18" s="66"/>
      <c r="BM18" s="66"/>
      <c r="BN18" s="66"/>
      <c r="BO18" s="66"/>
      <c r="BP18" s="66"/>
      <c r="BQ18" s="66"/>
      <c r="BR18" s="66"/>
      <c r="BS18" s="66"/>
      <c r="BT18" s="66"/>
      <c r="BU18" s="66"/>
      <c r="BV18" s="66"/>
      <c r="BW18" s="66"/>
      <c r="BX18" s="66"/>
      <c r="BY18" s="66"/>
      <c r="BZ18" s="66"/>
      <c r="CA18" s="66"/>
      <c r="CB18" s="66"/>
      <c r="CC18" s="66"/>
      <c r="CD18" s="66"/>
    </row>
    <row r="19" spans="2:82" ht="15" customHeight="1" x14ac:dyDescent="0.3">
      <c r="F19" s="2" t="s">
        <v>159</v>
      </c>
      <c r="G19" s="222">
        <f>'Form 2C.1 - Design'!Z66</f>
        <v>0</v>
      </c>
      <c r="H19" s="222"/>
      <c r="I19" s="222"/>
      <c r="J19" s="28" t="s">
        <v>40</v>
      </c>
      <c r="M19" s="2" t="s">
        <v>198</v>
      </c>
      <c r="N19" s="238">
        <f>'Form 2C.1 - Design'!AG66</f>
        <v>0</v>
      </c>
      <c r="O19" s="243"/>
      <c r="P19" s="243"/>
      <c r="Q19" s="28" t="s">
        <v>40</v>
      </c>
      <c r="R19" s="1"/>
      <c r="S19" s="64"/>
      <c r="Y19" s="2" t="s">
        <v>159</v>
      </c>
      <c r="Z19" s="176"/>
      <c r="AA19" s="176"/>
      <c r="AB19" s="176"/>
      <c r="AC19" s="28" t="s">
        <v>40</v>
      </c>
      <c r="AF19" s="2" t="s">
        <v>198</v>
      </c>
      <c r="AG19" s="180"/>
      <c r="AH19" s="180"/>
      <c r="AI19" s="180"/>
      <c r="AJ19" s="28" t="s">
        <v>40</v>
      </c>
      <c r="AK19" s="1"/>
      <c r="AW19" s="4" t="s">
        <v>104</v>
      </c>
      <c r="AX19" s="84" t="s">
        <v>273</v>
      </c>
      <c r="AY19" s="74"/>
      <c r="AZ19" s="84"/>
      <c r="BA19" s="84"/>
      <c r="BB19" s="66"/>
      <c r="BC19" s="66"/>
      <c r="BD19"/>
      <c r="BE19"/>
      <c r="BF19"/>
      <c r="BG19"/>
      <c r="BH19"/>
      <c r="BI19"/>
      <c r="BJ19"/>
      <c r="BK19"/>
      <c r="BL19"/>
      <c r="BM19"/>
      <c r="BN19"/>
      <c r="BO19"/>
      <c r="BP19"/>
      <c r="BQ19"/>
      <c r="BR19"/>
      <c r="BS19"/>
      <c r="BT19"/>
      <c r="BU19"/>
      <c r="BV19"/>
      <c r="BW19"/>
      <c r="BX19"/>
      <c r="BY19"/>
      <c r="BZ19" s="27"/>
      <c r="CA19" s="27"/>
      <c r="CB19" s="27"/>
      <c r="CC19" s="27"/>
      <c r="CD19" s="27"/>
    </row>
    <row r="20" spans="2:82" ht="15" customHeight="1" x14ac:dyDescent="0.3">
      <c r="F20" s="2" t="s">
        <v>156</v>
      </c>
      <c r="G20" s="238">
        <f>'Form 2C.1 - Design'!S67</f>
        <v>0</v>
      </c>
      <c r="H20" s="243"/>
      <c r="I20" s="243"/>
      <c r="J20" s="28" t="s">
        <v>39</v>
      </c>
      <c r="R20" s="1"/>
      <c r="S20" s="64"/>
      <c r="Y20" s="2" t="s">
        <v>156</v>
      </c>
      <c r="Z20" s="180"/>
      <c r="AA20" s="180"/>
      <c r="AB20" s="180"/>
      <c r="AC20" s="28" t="s">
        <v>39</v>
      </c>
      <c r="AK20" s="1"/>
      <c r="AM20" s="94">
        <f>IF(ISBLANK(Z20),1,2)</f>
        <v>1</v>
      </c>
      <c r="AX20" s="84" t="s">
        <v>274</v>
      </c>
      <c r="AZ20" s="84"/>
      <c r="BA20" s="84"/>
      <c r="BB20" s="66"/>
      <c r="BC20" s="66"/>
      <c r="BZ20" s="27"/>
      <c r="CA20" s="27"/>
      <c r="CB20" s="27"/>
      <c r="CC20" s="27"/>
      <c r="CD20" s="27"/>
    </row>
    <row r="21" spans="2:82" ht="15" customHeight="1" x14ac:dyDescent="0.3">
      <c r="F21" s="2" t="s">
        <v>541</v>
      </c>
      <c r="G21" s="238">
        <f>'Form 2C.1 - Design'!Z67</f>
        <v>0</v>
      </c>
      <c r="H21" s="243"/>
      <c r="I21" s="243"/>
      <c r="J21" s="28" t="s">
        <v>40</v>
      </c>
      <c r="M21" s="2" t="s">
        <v>542</v>
      </c>
      <c r="N21" s="236">
        <f>'Form 2C.1 - Design'!AG67</f>
        <v>0</v>
      </c>
      <c r="O21" s="230"/>
      <c r="P21" s="230"/>
      <c r="Q21" s="28" t="s">
        <v>40</v>
      </c>
      <c r="R21" s="1"/>
      <c r="S21" s="64"/>
      <c r="Y21" s="2" t="s">
        <v>541</v>
      </c>
      <c r="Z21" s="180"/>
      <c r="AA21" s="180"/>
      <c r="AB21" s="180"/>
      <c r="AC21" s="28" t="s">
        <v>40</v>
      </c>
      <c r="AF21" s="2" t="s">
        <v>542</v>
      </c>
      <c r="AG21" s="181"/>
      <c r="AH21" s="181"/>
      <c r="AI21" s="181"/>
      <c r="AJ21" s="28" t="s">
        <v>40</v>
      </c>
      <c r="AK21" s="1"/>
      <c r="AM21" s="94">
        <f>IF(AND(ISBLANK(Z21),ISBLANK(AG21)),1,2)</f>
        <v>1</v>
      </c>
      <c r="AV21" s="28"/>
      <c r="AW21" s="4" t="s">
        <v>102</v>
      </c>
      <c r="AX21" s="28" t="s">
        <v>431</v>
      </c>
      <c r="AZ21" s="74"/>
      <c r="BA21" s="74"/>
      <c r="BB21"/>
      <c r="BC21"/>
      <c r="BD21" s="66"/>
      <c r="BE21" s="66"/>
      <c r="BF21" s="66"/>
      <c r="BG21" s="66"/>
      <c r="BH21" s="66"/>
      <c r="BI21" s="66"/>
      <c r="BJ21" s="66"/>
      <c r="BK21" s="66"/>
      <c r="BL21" s="66"/>
      <c r="BM21" s="66"/>
      <c r="BN21" s="66"/>
      <c r="BO21" s="66"/>
      <c r="BP21" s="66"/>
      <c r="BQ21" s="66"/>
      <c r="BR21" s="66"/>
      <c r="BS21" s="66"/>
      <c r="BT21" s="66"/>
      <c r="BU21" s="66"/>
      <c r="BV21" s="66"/>
      <c r="BW21" s="66"/>
      <c r="BX21" s="66"/>
      <c r="BY21" s="66"/>
      <c r="BZ21" s="66"/>
      <c r="CA21" s="66"/>
      <c r="CB21" s="66"/>
      <c r="CC21" s="66"/>
      <c r="CD21" s="66"/>
    </row>
    <row r="22" spans="2:82" ht="4.95" customHeight="1" x14ac:dyDescent="0.3">
      <c r="S22" s="64"/>
      <c r="AI22" s="12"/>
      <c r="AJ22" s="12"/>
      <c r="BD22" s="66"/>
      <c r="BE22" s="66"/>
      <c r="BF22" s="66"/>
      <c r="BG22" s="66"/>
      <c r="BH22" s="66"/>
      <c r="BI22" s="66"/>
      <c r="BJ22" s="66"/>
      <c r="BK22" s="66"/>
      <c r="BL22" s="66"/>
      <c r="BM22" s="66"/>
      <c r="BN22" s="66"/>
      <c r="BO22" s="66"/>
      <c r="BP22" s="66"/>
      <c r="BQ22" s="66"/>
      <c r="BR22" s="66"/>
      <c r="BS22" s="66"/>
      <c r="BT22" s="66"/>
      <c r="BU22" s="66"/>
      <c r="BV22" s="66"/>
      <c r="BW22" s="66"/>
      <c r="BX22" s="66"/>
      <c r="BY22" s="66"/>
      <c r="BZ22" s="66"/>
      <c r="CA22" s="66"/>
      <c r="CB22" s="66"/>
      <c r="CC22" s="66"/>
      <c r="CD22" s="66"/>
    </row>
    <row r="23" spans="2:82" ht="15" customHeight="1" x14ac:dyDescent="0.3">
      <c r="B23" s="81" t="s">
        <v>309</v>
      </c>
      <c r="J23" s="162">
        <f>'Form 2C.1 - Design'!J69</f>
        <v>0</v>
      </c>
      <c r="K23" s="28" t="s">
        <v>295</v>
      </c>
      <c r="O23" s="2" t="s">
        <v>367</v>
      </c>
      <c r="P23" s="230">
        <f>'Form 2C.1 - Design'!Q70</f>
        <v>0</v>
      </c>
      <c r="Q23" s="230"/>
      <c r="R23" s="28" t="s">
        <v>219</v>
      </c>
      <c r="S23" s="64"/>
      <c r="U23" s="81" t="s">
        <v>309</v>
      </c>
      <c r="AC23" s="161"/>
      <c r="AD23" s="28" t="s">
        <v>295</v>
      </c>
      <c r="AH23" s="2" t="s">
        <v>367</v>
      </c>
      <c r="AI23" s="219"/>
      <c r="AJ23" s="219"/>
      <c r="AK23" s="28" t="s">
        <v>219</v>
      </c>
      <c r="AM23" s="94">
        <f>IF(ISBLANK(AC23),1,2)</f>
        <v>1</v>
      </c>
      <c r="AN23" s="94">
        <f>IF(ISBLANK(AI23),1,2)</f>
        <v>1</v>
      </c>
      <c r="AO23" s="22"/>
      <c r="AV23" s="23">
        <v>3</v>
      </c>
      <c r="AW23" s="74" t="s">
        <v>95</v>
      </c>
      <c r="AY23" s="84"/>
      <c r="AZ23" s="84"/>
      <c r="BA23" s="84"/>
      <c r="BB23" s="66"/>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c r="CA23" s="66"/>
      <c r="CB23" s="66"/>
      <c r="CC23" s="66"/>
      <c r="CD23" s="66"/>
    </row>
    <row r="24" spans="2:82" ht="15" customHeight="1" x14ac:dyDescent="0.3">
      <c r="E24" s="2" t="s">
        <v>157</v>
      </c>
      <c r="F24" s="231">
        <f>'Form 2C.1 - Design'!Q69</f>
        <v>0</v>
      </c>
      <c r="G24" s="231"/>
      <c r="H24" s="231"/>
      <c r="I24" s="231"/>
      <c r="O24" s="2" t="s">
        <v>156</v>
      </c>
      <c r="P24" s="229">
        <f>'Form 2C.1 - Design'!Z69</f>
        <v>0</v>
      </c>
      <c r="Q24" s="229"/>
      <c r="R24" s="28" t="s">
        <v>39</v>
      </c>
      <c r="S24" s="64"/>
      <c r="X24" s="2" t="s">
        <v>157</v>
      </c>
      <c r="Y24" s="206"/>
      <c r="Z24" s="206"/>
      <c r="AA24" s="206"/>
      <c r="AB24" s="206"/>
      <c r="AH24" s="2" t="s">
        <v>156</v>
      </c>
      <c r="AI24" s="181"/>
      <c r="AJ24" s="181"/>
      <c r="AK24" s="28" t="s">
        <v>39</v>
      </c>
      <c r="AW24" s="4" t="s">
        <v>93</v>
      </c>
      <c r="AX24" s="84" t="s">
        <v>568</v>
      </c>
      <c r="AY24" s="84"/>
      <c r="AZ24" s="84"/>
      <c r="BA24" s="84"/>
      <c r="BB24" s="66"/>
      <c r="BC24" s="66"/>
      <c r="BD24"/>
      <c r="BE24"/>
      <c r="BF24"/>
      <c r="BG24"/>
      <c r="BH24"/>
      <c r="BI24"/>
      <c r="BJ24"/>
      <c r="BK24"/>
      <c r="BL24"/>
      <c r="BM24"/>
      <c r="BN24"/>
      <c r="BO24"/>
      <c r="BP24"/>
      <c r="BQ24"/>
      <c r="BR24"/>
      <c r="BS24"/>
      <c r="BT24"/>
      <c r="BU24"/>
      <c r="BV24"/>
      <c r="BW24"/>
      <c r="BX24"/>
      <c r="BY24"/>
      <c r="CA24" s="27"/>
      <c r="CB24" s="27"/>
      <c r="CC24" s="27"/>
      <c r="CD24" s="27"/>
    </row>
    <row r="25" spans="2:82" ht="4.95" customHeight="1" x14ac:dyDescent="0.3">
      <c r="S25" s="64"/>
      <c r="AX25" s="84"/>
      <c r="AY25" s="84"/>
      <c r="AZ25" s="84"/>
      <c r="BA25" s="84"/>
      <c r="BB25" s="66"/>
      <c r="BC25" s="66"/>
      <c r="BD25"/>
      <c r="BE25"/>
      <c r="BF25"/>
      <c r="BG25"/>
      <c r="BH25"/>
      <c r="BI25"/>
      <c r="BJ25"/>
      <c r="BK25"/>
      <c r="BL25"/>
      <c r="BM25"/>
      <c r="BN25"/>
      <c r="BO25"/>
      <c r="BP25"/>
      <c r="BQ25"/>
      <c r="BR25"/>
      <c r="BS25"/>
      <c r="BT25"/>
      <c r="BU25"/>
      <c r="BV25"/>
      <c r="BW25"/>
      <c r="BX25"/>
      <c r="BY25"/>
      <c r="CA25" s="27"/>
      <c r="CB25" s="27"/>
      <c r="CC25" s="27"/>
      <c r="CD25" s="27"/>
    </row>
    <row r="26" spans="2:82" ht="15" customHeight="1" x14ac:dyDescent="0.3">
      <c r="B26" s="81" t="s">
        <v>221</v>
      </c>
      <c r="J26" s="162">
        <f>'Form 2C.1 - Design'!J71</f>
        <v>0</v>
      </c>
      <c r="K26" s="28" t="s">
        <v>295</v>
      </c>
      <c r="O26" s="2" t="s">
        <v>156</v>
      </c>
      <c r="P26" s="229">
        <f>'Form 2C.1 - Design'!Z71</f>
        <v>0</v>
      </c>
      <c r="Q26" s="230"/>
      <c r="R26" s="28" t="s">
        <v>39</v>
      </c>
      <c r="S26" s="64"/>
      <c r="U26" s="81" t="s">
        <v>221</v>
      </c>
      <c r="AC26" s="161"/>
      <c r="AD26" s="28" t="s">
        <v>295</v>
      </c>
      <c r="AH26" s="2" t="s">
        <v>156</v>
      </c>
      <c r="AI26" s="181"/>
      <c r="AJ26" s="181"/>
      <c r="AK26" s="28" t="s">
        <v>39</v>
      </c>
      <c r="AM26" s="94">
        <f>IF(ISBLANK(AC26),1,2)</f>
        <v>1</v>
      </c>
      <c r="AX26" s="84" t="s">
        <v>275</v>
      </c>
      <c r="BD26" s="29"/>
      <c r="BE26" s="29"/>
      <c r="BF26" s="29"/>
      <c r="BG26" s="29"/>
      <c r="BH26" s="29"/>
      <c r="BI26" s="29"/>
      <c r="BJ26" s="29"/>
      <c r="BK26" s="29"/>
      <c r="BL26" s="29"/>
      <c r="BM26" s="29"/>
      <c r="BN26" s="29"/>
      <c r="BO26" s="29"/>
      <c r="BP26" s="29"/>
      <c r="BQ26" s="29"/>
      <c r="BR26" s="29"/>
      <c r="BS26" s="29"/>
      <c r="BT26" s="29"/>
      <c r="BU26" s="29"/>
      <c r="BV26" s="29"/>
      <c r="BW26" s="29"/>
      <c r="BX26" s="29"/>
      <c r="BY26" s="29"/>
      <c r="CA26" s="27"/>
      <c r="CB26" s="27"/>
      <c r="CC26" s="27"/>
      <c r="CD26" s="27"/>
    </row>
    <row r="27" spans="2:82" ht="15" customHeight="1" x14ac:dyDescent="0.3">
      <c r="E27" s="2" t="s">
        <v>157</v>
      </c>
      <c r="F27" s="231">
        <f>'Form 2C.1 - Design'!Q71</f>
        <v>0</v>
      </c>
      <c r="G27" s="231"/>
      <c r="H27" s="231"/>
      <c r="I27" s="231"/>
      <c r="N27" s="2" t="s">
        <v>232</v>
      </c>
      <c r="O27" s="229">
        <f>'Form 2C.1 - Design'!AG71</f>
        <v>0</v>
      </c>
      <c r="P27" s="230"/>
      <c r="Q27" s="230"/>
      <c r="R27" s="28" t="s">
        <v>40</v>
      </c>
      <c r="S27" s="64"/>
      <c r="Y27" s="2" t="s">
        <v>157</v>
      </c>
      <c r="Z27" s="206"/>
      <c r="AA27" s="206"/>
      <c r="AB27" s="206"/>
      <c r="AC27" s="206"/>
      <c r="AG27" s="2" t="s">
        <v>232</v>
      </c>
      <c r="AH27" s="181"/>
      <c r="AI27" s="181"/>
      <c r="AJ27" s="181"/>
      <c r="AK27" s="28" t="s">
        <v>40</v>
      </c>
      <c r="AW27" s="4" t="s">
        <v>94</v>
      </c>
      <c r="AX27" s="74" t="s">
        <v>100</v>
      </c>
      <c r="BD27" s="29"/>
      <c r="BE27" s="29"/>
      <c r="BF27" s="29"/>
      <c r="BG27" s="29"/>
      <c r="BH27" s="29"/>
      <c r="BI27" s="29"/>
      <c r="BJ27" s="29"/>
      <c r="BK27" s="29"/>
      <c r="BL27" s="29"/>
      <c r="BM27" s="29"/>
      <c r="BN27" s="29"/>
      <c r="BO27" s="29"/>
      <c r="BP27" s="29"/>
      <c r="BQ27" s="29"/>
      <c r="BR27" s="29"/>
      <c r="BS27" s="29"/>
      <c r="BT27" s="29"/>
      <c r="BU27" s="29"/>
      <c r="BV27" s="29"/>
      <c r="BW27" s="29"/>
      <c r="BX27" s="29"/>
      <c r="BY27" s="29"/>
      <c r="CA27" s="27"/>
      <c r="CB27" s="27"/>
      <c r="CC27" s="27"/>
      <c r="CD27" s="27"/>
    </row>
    <row r="28" spans="2:82" ht="4.95" customHeight="1" x14ac:dyDescent="0.3">
      <c r="S28" s="64"/>
      <c r="AI28" s="12"/>
      <c r="AJ28" s="12"/>
      <c r="BA28" s="74"/>
      <c r="BB28"/>
      <c r="BC28"/>
      <c r="CA28" s="27"/>
      <c r="CB28" s="27"/>
      <c r="CC28" s="27"/>
      <c r="CD28" s="27"/>
    </row>
    <row r="29" spans="2:82" ht="15" customHeight="1" x14ac:dyDescent="0.3">
      <c r="B29" s="162">
        <f>'Form 2C.1 - Design'!B73</f>
        <v>0</v>
      </c>
      <c r="C29" s="80" t="s">
        <v>199</v>
      </c>
      <c r="K29" s="162">
        <f>'Form 2C.1 - Design'!K73</f>
        <v>0</v>
      </c>
      <c r="L29" s="28" t="s">
        <v>201</v>
      </c>
      <c r="O29" s="162">
        <f>'Form 2C.1 - Design'!O73</f>
        <v>0</v>
      </c>
      <c r="P29" s="28" t="s">
        <v>202</v>
      </c>
      <c r="S29" s="64"/>
      <c r="U29" s="161"/>
      <c r="V29" s="80" t="s">
        <v>199</v>
      </c>
      <c r="AD29" s="161"/>
      <c r="AE29" s="28" t="s">
        <v>201</v>
      </c>
      <c r="AH29" s="161"/>
      <c r="AI29" s="28" t="s">
        <v>202</v>
      </c>
      <c r="AM29" s="94">
        <f>IF(ISBLANK(U29),1,2)</f>
        <v>1</v>
      </c>
      <c r="AX29" s="91" t="s">
        <v>105</v>
      </c>
      <c r="AY29" s="74" t="s">
        <v>263</v>
      </c>
      <c r="AZ29" s="91"/>
      <c r="BA29" s="91"/>
      <c r="BB29" s="29"/>
      <c r="BC29" s="29"/>
      <c r="BD29" s="29"/>
      <c r="BE29" s="29"/>
      <c r="BF29" s="29"/>
      <c r="BG29" s="29"/>
      <c r="BH29" s="29"/>
      <c r="BI29" s="29"/>
      <c r="BJ29" s="29"/>
      <c r="BK29" s="29"/>
      <c r="BL29" s="29"/>
      <c r="BM29" s="29"/>
      <c r="BN29" s="29"/>
      <c r="BO29" s="29"/>
      <c r="BP29" s="29"/>
      <c r="BQ29" s="29"/>
      <c r="BR29" s="29"/>
      <c r="BS29" s="29"/>
      <c r="BT29" s="29"/>
      <c r="BU29" s="29"/>
      <c r="BV29" s="29"/>
      <c r="BW29" s="29"/>
      <c r="BX29" s="29"/>
      <c r="BY29" s="29"/>
      <c r="CA29" s="27"/>
      <c r="CB29" s="27"/>
      <c r="CC29" s="27"/>
      <c r="CD29" s="27"/>
    </row>
    <row r="30" spans="2:82" ht="4.95" customHeight="1" x14ac:dyDescent="0.3">
      <c r="S30" s="64"/>
      <c r="CA30" s="27"/>
      <c r="CB30" s="27"/>
      <c r="CC30" s="27"/>
      <c r="CD30" s="27"/>
    </row>
    <row r="31" spans="2:82" ht="15" customHeight="1" x14ac:dyDescent="0.3">
      <c r="C31" s="162">
        <f>'Form 2C.1 - Design'!T73</f>
        <v>0</v>
      </c>
      <c r="D31" s="28" t="s">
        <v>307</v>
      </c>
      <c r="G31" s="162">
        <f>'Form 2C.1 - Design'!Y73</f>
        <v>0</v>
      </c>
      <c r="H31" s="28" t="s">
        <v>308</v>
      </c>
      <c r="M31" s="2" t="s">
        <v>204</v>
      </c>
      <c r="N31" s="231">
        <f>'Form 2C.1 - Design'!K77</f>
        <v>0</v>
      </c>
      <c r="O31" s="231"/>
      <c r="P31" s="231"/>
      <c r="Q31" s="231"/>
      <c r="R31" s="231"/>
      <c r="S31" s="64"/>
      <c r="V31" s="161"/>
      <c r="W31" s="28" t="s">
        <v>307</v>
      </c>
      <c r="Z31" s="161"/>
      <c r="AA31" s="28" t="s">
        <v>308</v>
      </c>
      <c r="AF31" s="2" t="s">
        <v>204</v>
      </c>
      <c r="AG31" s="206"/>
      <c r="AH31" s="206"/>
      <c r="AI31" s="206"/>
      <c r="AJ31" s="206"/>
      <c r="AK31" s="206"/>
      <c r="AM31" s="94">
        <f>IF(AND(ISBLANK(AD29),ISBLANK(AH29),ISBLANK(V31),ISBLANK(Z31),ISBLANK(V33)),1,2)</f>
        <v>1</v>
      </c>
      <c r="AX31" s="91" t="s">
        <v>105</v>
      </c>
      <c r="AY31" s="74" t="s">
        <v>120</v>
      </c>
      <c r="BA31" s="91"/>
      <c r="BB31" s="29"/>
      <c r="BC31" s="29"/>
      <c r="BD31" s="29"/>
      <c r="BE31" s="29"/>
      <c r="BF31" s="29"/>
      <c r="BG31" s="29"/>
      <c r="BH31" s="29"/>
      <c r="BI31" s="29"/>
      <c r="BJ31" s="29"/>
      <c r="BK31" s="29"/>
      <c r="BL31" s="29"/>
      <c r="BM31" s="29"/>
      <c r="BN31" s="29"/>
      <c r="BO31" s="29"/>
      <c r="BP31" s="29"/>
      <c r="BQ31" s="29"/>
      <c r="BR31" s="29"/>
      <c r="BS31" s="29"/>
      <c r="BT31" s="29"/>
      <c r="BU31" s="29"/>
      <c r="BV31" s="29"/>
      <c r="BW31" s="29"/>
      <c r="BX31" s="29"/>
      <c r="BY31" s="29"/>
      <c r="CA31" s="27"/>
      <c r="CB31" s="27"/>
      <c r="CC31" s="27"/>
      <c r="CD31" s="27"/>
    </row>
    <row r="32" spans="2:82" ht="4.95" customHeight="1" x14ac:dyDescent="0.3">
      <c r="S32" s="64"/>
      <c r="CA32" s="27"/>
      <c r="CB32" s="27"/>
      <c r="CC32" s="27"/>
      <c r="CD32" s="27"/>
    </row>
    <row r="33" spans="2:82" ht="15" customHeight="1" x14ac:dyDescent="0.3">
      <c r="C33" s="162">
        <f>'Form 2C.1 - Design'!Y75</f>
        <v>0</v>
      </c>
      <c r="D33" s="28" t="s">
        <v>203</v>
      </c>
      <c r="G33" s="231">
        <f>'Form 2C.1 - Design'!AC75</f>
        <v>0</v>
      </c>
      <c r="H33" s="231"/>
      <c r="I33" s="231"/>
      <c r="J33" s="231"/>
      <c r="K33" s="231"/>
      <c r="L33" s="231"/>
      <c r="M33" s="231"/>
      <c r="N33" s="231"/>
      <c r="O33" s="231"/>
      <c r="P33" s="231"/>
      <c r="Q33" s="231"/>
      <c r="R33" s="231"/>
      <c r="S33" s="64"/>
      <c r="V33" s="161"/>
      <c r="W33" s="28" t="s">
        <v>203</v>
      </c>
      <c r="X33" s="2"/>
      <c r="Z33" s="206"/>
      <c r="AA33" s="206"/>
      <c r="AB33" s="206"/>
      <c r="AC33" s="206"/>
      <c r="AD33" s="206"/>
      <c r="AE33" s="206"/>
      <c r="AF33" s="206"/>
      <c r="AG33" s="206"/>
      <c r="AH33" s="206"/>
      <c r="AI33" s="206"/>
      <c r="AJ33" s="206"/>
      <c r="AK33" s="206"/>
      <c r="AM33" s="94">
        <f>IF(ISBLANK(V33),1,2)</f>
        <v>1</v>
      </c>
      <c r="AX33" s="91" t="s">
        <v>105</v>
      </c>
      <c r="AY33" s="28" t="s">
        <v>165</v>
      </c>
      <c r="CA33" s="27"/>
      <c r="CB33" s="27"/>
      <c r="CC33" s="27"/>
      <c r="CD33" s="27"/>
    </row>
    <row r="34" spans="2:82" ht="4.95" customHeight="1" x14ac:dyDescent="0.3">
      <c r="S34" s="64"/>
      <c r="CA34" s="27"/>
      <c r="CB34" s="27"/>
      <c r="CC34" s="27"/>
      <c r="CD34" s="27"/>
    </row>
    <row r="35" spans="2:82" ht="15" customHeight="1" x14ac:dyDescent="0.3">
      <c r="E35" s="2" t="s">
        <v>207</v>
      </c>
      <c r="F35" s="162">
        <f>'Form 2C.1 - Design'!H79</f>
        <v>0</v>
      </c>
      <c r="G35" s="28" t="s">
        <v>115</v>
      </c>
      <c r="H35" s="2"/>
      <c r="I35" s="162">
        <f>'Form 2C.1 - Design'!K79</f>
        <v>0</v>
      </c>
      <c r="J35" s="28" t="s">
        <v>116</v>
      </c>
      <c r="M35" s="2" t="s">
        <v>204</v>
      </c>
      <c r="N35" s="231">
        <f>'Form 2C.1 - Design'!P79</f>
        <v>0</v>
      </c>
      <c r="O35" s="231"/>
      <c r="P35" s="231"/>
      <c r="Q35" s="231"/>
      <c r="R35" s="231"/>
      <c r="S35" s="64"/>
      <c r="X35" s="2" t="s">
        <v>207</v>
      </c>
      <c r="Y35" s="161"/>
      <c r="Z35" s="28" t="s">
        <v>115</v>
      </c>
      <c r="AA35" s="2"/>
      <c r="AB35" s="161"/>
      <c r="AC35" s="28" t="s">
        <v>116</v>
      </c>
      <c r="AF35" s="2" t="s">
        <v>204</v>
      </c>
      <c r="AG35" s="206"/>
      <c r="AH35" s="206"/>
      <c r="AI35" s="206"/>
      <c r="AJ35" s="206"/>
      <c r="AK35" s="206"/>
      <c r="AM35" s="94">
        <f>IF(AND(ISBLANK(Y35),ISBLANK(AB35)),1,2)</f>
        <v>1</v>
      </c>
      <c r="AN35" s="94">
        <f>IF(ISBLANK(Y35),1,2)</f>
        <v>1</v>
      </c>
      <c r="AO35" s="22"/>
      <c r="AV35" s="28"/>
      <c r="AX35" s="91" t="s">
        <v>105</v>
      </c>
      <c r="AY35" s="28" t="str">
        <f>Tables!F24</f>
        <v xml:space="preserve"> O&amp;M Agreement</v>
      </c>
      <c r="AZ35" s="91"/>
      <c r="BA35" s="91"/>
      <c r="BB35" s="29"/>
      <c r="BC35" s="29"/>
      <c r="CA35" s="27"/>
      <c r="CB35" s="27"/>
      <c r="CC35" s="27"/>
      <c r="CD35" s="27"/>
    </row>
    <row r="36" spans="2:82" ht="4.95" customHeight="1" x14ac:dyDescent="0.3">
      <c r="E36" s="2"/>
      <c r="F36" s="2"/>
      <c r="G36" s="2"/>
      <c r="H36" s="2"/>
      <c r="I36" s="2"/>
      <c r="J36" s="2"/>
      <c r="S36" s="64"/>
      <c r="X36" s="2"/>
      <c r="Y36" s="2"/>
      <c r="Z36" s="2"/>
      <c r="AA36" s="2"/>
      <c r="AB36" s="2"/>
      <c r="AC36" s="2"/>
      <c r="CA36" s="27"/>
      <c r="CB36" s="27"/>
      <c r="CC36" s="27"/>
      <c r="CD36" s="27"/>
    </row>
    <row r="37" spans="2:82" ht="15" customHeight="1" x14ac:dyDescent="0.3">
      <c r="E37" s="2" t="s">
        <v>208</v>
      </c>
      <c r="F37" s="162">
        <f>'Form 2C.1 - Design'!H81</f>
        <v>0</v>
      </c>
      <c r="G37" s="28" t="s">
        <v>115</v>
      </c>
      <c r="I37" s="162">
        <f>'Form 2C.1 - Design'!K81</f>
        <v>0</v>
      </c>
      <c r="J37" s="28" t="s">
        <v>116</v>
      </c>
      <c r="M37" s="2" t="s">
        <v>204</v>
      </c>
      <c r="N37" s="231">
        <f>'Form 2C.1 - Design'!P81</f>
        <v>0</v>
      </c>
      <c r="O37" s="231"/>
      <c r="P37" s="231"/>
      <c r="Q37" s="231"/>
      <c r="R37" s="231"/>
      <c r="S37" s="64"/>
      <c r="X37" s="2" t="s">
        <v>208</v>
      </c>
      <c r="Y37" s="161"/>
      <c r="Z37" s="28" t="s">
        <v>115</v>
      </c>
      <c r="AB37" s="161"/>
      <c r="AC37" s="28" t="s">
        <v>116</v>
      </c>
      <c r="AF37" s="2" t="s">
        <v>204</v>
      </c>
      <c r="AG37" s="206"/>
      <c r="AH37" s="206"/>
      <c r="AI37" s="206"/>
      <c r="AJ37" s="206"/>
      <c r="AK37" s="206"/>
      <c r="AM37" s="94">
        <f>IF(AND(ISBLANK(Y37),ISBLANK(AB37)),1,2)</f>
        <v>1</v>
      </c>
      <c r="AN37" s="94">
        <f>IF(ISBLANK(Y37),1,2)</f>
        <v>1</v>
      </c>
      <c r="AO37" s="22"/>
      <c r="AV37" s="23">
        <v>4</v>
      </c>
      <c r="AW37" s="74" t="s">
        <v>90</v>
      </c>
      <c r="BD37"/>
      <c r="BE37"/>
      <c r="BF37"/>
      <c r="BG37"/>
      <c r="BH37"/>
      <c r="BI37"/>
      <c r="BJ37"/>
      <c r="BK37"/>
      <c r="BL37"/>
      <c r="BM37"/>
      <c r="BN37"/>
      <c r="BO37"/>
      <c r="BP37"/>
      <c r="BQ37"/>
      <c r="BR37"/>
      <c r="BS37"/>
      <c r="BT37"/>
      <c r="BU37"/>
      <c r="BV37"/>
      <c r="BW37"/>
      <c r="BX37"/>
      <c r="BY37"/>
      <c r="CA37" s="27"/>
      <c r="CB37" s="27"/>
      <c r="CC37" s="27"/>
      <c r="CD37" s="27"/>
    </row>
    <row r="38" spans="2:82" ht="4.95" customHeight="1" x14ac:dyDescent="0.3">
      <c r="S38" s="64"/>
      <c r="CA38" s="27"/>
      <c r="CB38" s="27"/>
      <c r="CC38" s="27"/>
      <c r="CD38" s="27"/>
    </row>
    <row r="39" spans="2:82" ht="15" customHeight="1" x14ac:dyDescent="0.3">
      <c r="B39" s="81" t="s">
        <v>224</v>
      </c>
      <c r="J39" s="4" t="s">
        <v>214</v>
      </c>
      <c r="N39" s="28" t="s">
        <v>215</v>
      </c>
      <c r="S39" s="64"/>
      <c r="U39" s="81" t="s">
        <v>224</v>
      </c>
      <c r="AC39" s="4" t="s">
        <v>214</v>
      </c>
      <c r="AG39" s="28" t="s">
        <v>215</v>
      </c>
      <c r="AV39" s="28"/>
      <c r="AW39" s="4" t="s">
        <v>93</v>
      </c>
      <c r="AX39" s="28" t="s">
        <v>379</v>
      </c>
      <c r="BA39" s="74"/>
      <c r="BB39"/>
      <c r="BC39"/>
      <c r="BD39"/>
      <c r="BE39"/>
      <c r="BF39"/>
      <c r="BG39"/>
      <c r="BH39"/>
      <c r="BI39"/>
      <c r="BJ39"/>
      <c r="BK39"/>
      <c r="BL39"/>
      <c r="BM39"/>
      <c r="BN39"/>
      <c r="BO39"/>
      <c r="BP39"/>
      <c r="BQ39"/>
      <c r="BR39"/>
      <c r="BS39"/>
      <c r="BT39"/>
      <c r="BU39"/>
      <c r="BV39"/>
      <c r="BW39"/>
      <c r="BX39"/>
      <c r="BY39"/>
      <c r="CA39" s="27"/>
      <c r="CB39" s="27"/>
      <c r="CC39" s="27"/>
      <c r="CD39" s="27"/>
    </row>
    <row r="40" spans="2:82" ht="15" customHeight="1" x14ac:dyDescent="0.3">
      <c r="H40" s="2" t="s">
        <v>209</v>
      </c>
      <c r="I40" s="229">
        <f>'Form 2C.1 - Design'!M84</f>
        <v>0</v>
      </c>
      <c r="J40" s="230"/>
      <c r="K40" s="230"/>
      <c r="L40" s="28" t="s">
        <v>39</v>
      </c>
      <c r="N40" s="229">
        <f>'Form 2C.1 - Design'!R84</f>
        <v>0</v>
      </c>
      <c r="O40" s="230"/>
      <c r="P40" s="230"/>
      <c r="Q40" s="28" t="s">
        <v>40</v>
      </c>
      <c r="S40" s="64"/>
      <c r="AA40" s="2" t="s">
        <v>209</v>
      </c>
      <c r="AB40" s="181"/>
      <c r="AC40" s="181"/>
      <c r="AD40" s="181"/>
      <c r="AE40" s="28" t="s">
        <v>39</v>
      </c>
      <c r="AG40" s="181"/>
      <c r="AH40" s="181"/>
      <c r="AI40" s="181"/>
      <c r="AJ40" s="28" t="s">
        <v>40</v>
      </c>
      <c r="AV40" s="28"/>
      <c r="AW40" s="4" t="s">
        <v>94</v>
      </c>
      <c r="AX40" s="28" t="s">
        <v>322</v>
      </c>
      <c r="AZ40" s="74"/>
      <c r="BD40"/>
      <c r="BE40"/>
      <c r="BF40"/>
      <c r="BG40"/>
      <c r="BH40"/>
      <c r="BI40"/>
      <c r="BJ40"/>
      <c r="BK40"/>
      <c r="BL40"/>
      <c r="BM40"/>
      <c r="BN40"/>
      <c r="BO40"/>
      <c r="BP40"/>
      <c r="BQ40"/>
      <c r="BR40"/>
      <c r="BS40"/>
      <c r="BT40"/>
      <c r="BU40"/>
      <c r="BV40"/>
      <c r="BW40"/>
      <c r="BX40"/>
      <c r="BY40"/>
      <c r="CA40" s="27"/>
      <c r="CB40" s="27"/>
      <c r="CC40" s="27"/>
      <c r="CD40" s="27"/>
    </row>
    <row r="41" spans="2:82" ht="15" customHeight="1" x14ac:dyDescent="0.3">
      <c r="H41" s="2" t="s">
        <v>210</v>
      </c>
      <c r="I41" s="229">
        <f>'Form 2C.1 - Design'!M85</f>
        <v>0</v>
      </c>
      <c r="J41" s="230"/>
      <c r="K41" s="230"/>
      <c r="L41" s="28" t="s">
        <v>39</v>
      </c>
      <c r="N41" s="229">
        <f>'Form 2C.1 - Design'!R85</f>
        <v>0</v>
      </c>
      <c r="O41" s="230"/>
      <c r="P41" s="230"/>
      <c r="Q41" s="28" t="s">
        <v>40</v>
      </c>
      <c r="S41" s="64"/>
      <c r="AA41" s="2" t="s">
        <v>210</v>
      </c>
      <c r="AB41" s="180"/>
      <c r="AC41" s="180"/>
      <c r="AD41" s="180"/>
      <c r="AE41" s="28" t="s">
        <v>39</v>
      </c>
      <c r="AG41" s="180"/>
      <c r="AH41" s="180"/>
      <c r="AI41" s="180"/>
      <c r="AJ41" s="28" t="s">
        <v>40</v>
      </c>
      <c r="AW41" s="4" t="s">
        <v>103</v>
      </c>
      <c r="AX41" s="74" t="s">
        <v>240</v>
      </c>
      <c r="AY41" s="74"/>
      <c r="AZ41" s="74"/>
      <c r="BA41" s="74"/>
      <c r="BB41"/>
      <c r="BC41"/>
      <c r="BD41"/>
      <c r="BE41"/>
      <c r="BF41"/>
      <c r="BG41"/>
      <c r="BH41"/>
      <c r="BI41"/>
      <c r="BJ41"/>
      <c r="BK41"/>
      <c r="BL41"/>
      <c r="BM41"/>
      <c r="BN41"/>
      <c r="BO41"/>
      <c r="BP41"/>
      <c r="BQ41"/>
      <c r="BR41"/>
      <c r="BS41"/>
      <c r="BT41"/>
      <c r="BU41"/>
      <c r="BV41"/>
      <c r="BW41"/>
      <c r="BX41"/>
      <c r="BY41"/>
      <c r="CA41" s="27"/>
      <c r="CB41" s="27"/>
      <c r="CC41" s="27"/>
      <c r="CD41" s="27"/>
    </row>
    <row r="42" spans="2:82" ht="15" customHeight="1" x14ac:dyDescent="0.3">
      <c r="H42" s="2" t="s">
        <v>211</v>
      </c>
      <c r="I42" s="229">
        <f>'Form 2C.1 - Design'!M86</f>
        <v>0</v>
      </c>
      <c r="J42" s="230"/>
      <c r="K42" s="230"/>
      <c r="L42" s="28" t="s">
        <v>39</v>
      </c>
      <c r="N42" s="229">
        <f>'Form 2C.1 - Design'!R86</f>
        <v>0</v>
      </c>
      <c r="O42" s="230"/>
      <c r="P42" s="230"/>
      <c r="Q42" s="28" t="s">
        <v>40</v>
      </c>
      <c r="S42" s="64"/>
      <c r="AA42" s="2" t="s">
        <v>211</v>
      </c>
      <c r="AB42" s="180"/>
      <c r="AC42" s="180"/>
      <c r="AD42" s="180"/>
      <c r="AE42" s="28" t="s">
        <v>39</v>
      </c>
      <c r="AG42" s="180"/>
      <c r="AH42" s="180"/>
      <c r="AI42" s="180"/>
      <c r="AJ42" s="28" t="s">
        <v>40</v>
      </c>
      <c r="AV42" s="28"/>
      <c r="AW42" s="4" t="s">
        <v>104</v>
      </c>
      <c r="AX42" s="74" t="s">
        <v>97</v>
      </c>
      <c r="AY42" s="74"/>
      <c r="AZ42" s="74"/>
      <c r="BA42" s="74"/>
      <c r="BB42"/>
      <c r="BC42"/>
      <c r="BD42"/>
      <c r="BE42"/>
      <c r="BF42"/>
      <c r="BG42"/>
      <c r="BH42"/>
      <c r="BI42"/>
      <c r="BJ42"/>
      <c r="BK42"/>
      <c r="BL42"/>
      <c r="BM42"/>
      <c r="BN42"/>
      <c r="BO42"/>
      <c r="BP42"/>
      <c r="BQ42"/>
      <c r="BR42"/>
      <c r="BS42"/>
      <c r="BT42"/>
      <c r="BU42"/>
      <c r="BV42"/>
      <c r="BW42"/>
      <c r="BX42"/>
      <c r="BY42"/>
      <c r="CA42" s="27"/>
      <c r="CB42" s="27"/>
      <c r="CC42" s="27"/>
      <c r="CD42" s="27"/>
    </row>
    <row r="43" spans="2:82" ht="15" customHeight="1" x14ac:dyDescent="0.3">
      <c r="H43" s="2" t="s">
        <v>212</v>
      </c>
      <c r="I43" s="229">
        <f>'Form 2C.1 - Design'!M87</f>
        <v>0</v>
      </c>
      <c r="J43" s="230"/>
      <c r="K43" s="230"/>
      <c r="L43" s="28" t="s">
        <v>39</v>
      </c>
      <c r="N43" s="229">
        <f>'Form 2C.1 - Design'!R87</f>
        <v>0</v>
      </c>
      <c r="O43" s="230"/>
      <c r="P43" s="230"/>
      <c r="Q43" s="28" t="s">
        <v>40</v>
      </c>
      <c r="S43" s="64"/>
      <c r="AA43" s="2" t="s">
        <v>212</v>
      </c>
      <c r="AB43" s="180"/>
      <c r="AC43" s="180"/>
      <c r="AD43" s="180"/>
      <c r="AE43" s="28" t="s">
        <v>39</v>
      </c>
      <c r="AG43" s="180"/>
      <c r="AH43" s="180"/>
      <c r="AI43" s="180"/>
      <c r="AJ43" s="28" t="s">
        <v>40</v>
      </c>
      <c r="AW43" s="4" t="s">
        <v>102</v>
      </c>
      <c r="AX43" s="74" t="s">
        <v>98</v>
      </c>
      <c r="AY43" s="74"/>
      <c r="AZ43" s="74"/>
      <c r="BA43" s="74"/>
      <c r="BB43"/>
      <c r="BC43"/>
      <c r="CA43" s="27"/>
      <c r="CB43" s="27"/>
      <c r="CC43" s="27"/>
      <c r="CD43" s="27"/>
    </row>
    <row r="44" spans="2:82" ht="15" customHeight="1" x14ac:dyDescent="0.3">
      <c r="H44" s="2" t="s">
        <v>213</v>
      </c>
      <c r="I44" s="229">
        <f>'Form 2C.1 - Design'!M88</f>
        <v>0</v>
      </c>
      <c r="J44" s="230"/>
      <c r="K44" s="230"/>
      <c r="L44" s="28" t="s">
        <v>39</v>
      </c>
      <c r="N44" s="229">
        <f>'Form 2C.1 - Design'!R88</f>
        <v>0</v>
      </c>
      <c r="O44" s="230"/>
      <c r="P44" s="230"/>
      <c r="Q44" s="28" t="s">
        <v>40</v>
      </c>
      <c r="S44" s="64"/>
      <c r="AA44" s="2" t="s">
        <v>213</v>
      </c>
      <c r="AB44" s="180"/>
      <c r="AC44" s="180"/>
      <c r="AD44" s="180"/>
      <c r="AE44" s="28" t="s">
        <v>39</v>
      </c>
      <c r="AG44" s="180"/>
      <c r="AH44" s="180"/>
      <c r="AI44" s="180"/>
      <c r="AJ44" s="28" t="s">
        <v>40</v>
      </c>
      <c r="AW44" s="4" t="s">
        <v>320</v>
      </c>
      <c r="AX44" s="74" t="s">
        <v>378</v>
      </c>
      <c r="AY44" s="74"/>
      <c r="AZ44" s="74"/>
      <c r="BA44" s="74"/>
      <c r="BB44"/>
      <c r="BC44"/>
      <c r="BD44"/>
      <c r="BE44"/>
      <c r="BF44"/>
      <c r="BG44"/>
      <c r="BH44"/>
      <c r="BI44"/>
      <c r="BJ44"/>
      <c r="BK44"/>
      <c r="BL44"/>
      <c r="BM44"/>
      <c r="BN44"/>
      <c r="BO44"/>
      <c r="BP44"/>
      <c r="BQ44"/>
      <c r="BR44"/>
      <c r="BS44"/>
      <c r="BT44"/>
      <c r="BU44"/>
      <c r="BV44"/>
      <c r="BW44"/>
      <c r="BX44"/>
      <c r="BY44"/>
      <c r="BZ44"/>
      <c r="CA44" s="27"/>
      <c r="CB44" s="27"/>
      <c r="CC44" s="27"/>
      <c r="CD44" s="27"/>
    </row>
    <row r="45" spans="2:82" ht="15" customHeight="1" x14ac:dyDescent="0.3">
      <c r="B45" s="81" t="s">
        <v>223</v>
      </c>
      <c r="I45" s="254" t="s">
        <v>227</v>
      </c>
      <c r="J45" s="254"/>
      <c r="K45" s="254"/>
      <c r="N45" s="254" t="s">
        <v>228</v>
      </c>
      <c r="O45" s="254"/>
      <c r="P45" s="254"/>
      <c r="Q45" s="1"/>
      <c r="S45" s="64"/>
      <c r="U45" s="81" t="s">
        <v>223</v>
      </c>
      <c r="AB45" s="254" t="s">
        <v>227</v>
      </c>
      <c r="AC45" s="254"/>
      <c r="AD45" s="254"/>
      <c r="AG45" s="254" t="s">
        <v>228</v>
      </c>
      <c r="AH45" s="254"/>
      <c r="AI45" s="254"/>
      <c r="AW45" s="4" t="s">
        <v>321</v>
      </c>
      <c r="AX45" s="74" t="s">
        <v>241</v>
      </c>
      <c r="AY45" s="74"/>
      <c r="AZ45" s="74"/>
      <c r="BA45" s="74"/>
      <c r="BB45"/>
      <c r="BC45"/>
      <c r="BZ45" s="27"/>
      <c r="CA45" s="27"/>
      <c r="CB45" s="27"/>
      <c r="CC45" s="27"/>
      <c r="CD45" s="27"/>
    </row>
    <row r="46" spans="2:82" ht="15" customHeight="1" x14ac:dyDescent="0.3">
      <c r="G46" s="2" t="s">
        <v>231</v>
      </c>
      <c r="I46" s="252">
        <f>'Form 2C.1 - Design'!M91</f>
        <v>0</v>
      </c>
      <c r="J46" s="252"/>
      <c r="K46" s="252"/>
      <c r="L46" s="28" t="s">
        <v>219</v>
      </c>
      <c r="N46" s="252">
        <f>'Form 2C.1 - Design'!M92</f>
        <v>0</v>
      </c>
      <c r="O46" s="252"/>
      <c r="P46" s="252"/>
      <c r="Q46" s="28" t="s">
        <v>219</v>
      </c>
      <c r="S46" s="64"/>
      <c r="Z46" s="2" t="s">
        <v>231</v>
      </c>
      <c r="AB46" s="217"/>
      <c r="AC46" s="217"/>
      <c r="AD46" s="217"/>
      <c r="AE46" s="28" t="s">
        <v>219</v>
      </c>
      <c r="AG46" s="217"/>
      <c r="AH46" s="217"/>
      <c r="AI46" s="217"/>
      <c r="AJ46" s="28" t="s">
        <v>219</v>
      </c>
      <c r="AV46" s="23">
        <v>5</v>
      </c>
      <c r="AW46" s="74" t="str">
        <f>"Form 3C – Underground Detention As-built Certification Form shall be approved by the "&amp;Tables!F23&amp;" prior to:"</f>
        <v>Form 3C – Underground Detention As-built Certification Form shall be approved by the City prior to:</v>
      </c>
      <c r="BA46" s="74"/>
      <c r="BB46"/>
      <c r="BC46"/>
      <c r="BZ46"/>
      <c r="CA46" s="27"/>
      <c r="CB46" s="27"/>
      <c r="CC46" s="27"/>
      <c r="CD46" s="27"/>
    </row>
    <row r="47" spans="2:82" ht="15" customHeight="1" x14ac:dyDescent="0.3">
      <c r="G47" s="2" t="s">
        <v>318</v>
      </c>
      <c r="I47" s="222">
        <f>'Form 2C.1 - Design'!R91</f>
        <v>0</v>
      </c>
      <c r="J47" s="222"/>
      <c r="K47" s="222"/>
      <c r="L47" s="28" t="s">
        <v>40</v>
      </c>
      <c r="N47" s="222">
        <f>'Form 2C.1 - Design'!R92</f>
        <v>0</v>
      </c>
      <c r="O47" s="222"/>
      <c r="P47" s="222"/>
      <c r="Q47" s="28" t="s">
        <v>40</v>
      </c>
      <c r="S47" s="64"/>
      <c r="Z47" s="2" t="s">
        <v>318</v>
      </c>
      <c r="AB47" s="176"/>
      <c r="AC47" s="176"/>
      <c r="AD47" s="176"/>
      <c r="AE47" s="28" t="s">
        <v>40</v>
      </c>
      <c r="AG47" s="176"/>
      <c r="AH47" s="176"/>
      <c r="AI47" s="176"/>
      <c r="AJ47" s="28" t="s">
        <v>40</v>
      </c>
      <c r="AW47" s="4" t="s">
        <v>93</v>
      </c>
      <c r="AX47" s="74" t="s">
        <v>101</v>
      </c>
      <c r="CA47" s="27"/>
      <c r="CB47" s="27"/>
      <c r="CC47" s="27"/>
      <c r="CD47" s="27"/>
    </row>
    <row r="48" spans="2:82" ht="15" customHeight="1" x14ac:dyDescent="0.3">
      <c r="G48" s="2" t="s">
        <v>319</v>
      </c>
      <c r="I48" s="222">
        <f>'Form 2C.1 - Design'!W91</f>
        <v>0</v>
      </c>
      <c r="J48" s="222"/>
      <c r="K48" s="222"/>
      <c r="L48" s="28" t="s">
        <v>205</v>
      </c>
      <c r="N48" s="222">
        <f>'Form 2C.1 - Design'!W92</f>
        <v>0</v>
      </c>
      <c r="O48" s="222"/>
      <c r="P48" s="222"/>
      <c r="Q48" s="28" t="s">
        <v>205</v>
      </c>
      <c r="S48" s="64"/>
      <c r="Z48" s="2" t="s">
        <v>319</v>
      </c>
      <c r="AB48" s="176"/>
      <c r="AC48" s="176"/>
      <c r="AD48" s="176"/>
      <c r="AE48" s="28" t="s">
        <v>205</v>
      </c>
      <c r="AG48" s="176"/>
      <c r="AH48" s="176"/>
      <c r="AI48" s="176"/>
      <c r="AJ48" s="28" t="s">
        <v>205</v>
      </c>
      <c r="AW48" s="4" t="s">
        <v>94</v>
      </c>
      <c r="AX48" s="74" t="s">
        <v>99</v>
      </c>
      <c r="CA48" s="27"/>
      <c r="CB48" s="27"/>
      <c r="CC48" s="27"/>
      <c r="CD48" s="27"/>
    </row>
    <row r="49" spans="2:82" ht="15" customHeight="1" x14ac:dyDescent="0.3">
      <c r="G49" s="2" t="s">
        <v>232</v>
      </c>
      <c r="I49" s="233">
        <f>'Form 2C.1 - Design'!AB91</f>
        <v>0</v>
      </c>
      <c r="J49" s="233"/>
      <c r="K49" s="233"/>
      <c r="L49" s="28" t="s">
        <v>40</v>
      </c>
      <c r="N49" s="233">
        <f>'Form 2C.1 - Design'!AB92</f>
        <v>0</v>
      </c>
      <c r="O49" s="233"/>
      <c r="P49" s="233"/>
      <c r="Q49" s="28" t="s">
        <v>40</v>
      </c>
      <c r="S49" s="64"/>
      <c r="Z49" s="2" t="s">
        <v>232</v>
      </c>
      <c r="AB49" s="180"/>
      <c r="AC49" s="180"/>
      <c r="AD49" s="180"/>
      <c r="AE49" s="28" t="s">
        <v>40</v>
      </c>
      <c r="AG49" s="180"/>
      <c r="AH49" s="180"/>
      <c r="AI49" s="180"/>
      <c r="AJ49" s="28" t="s">
        <v>40</v>
      </c>
      <c r="AY49" s="74"/>
      <c r="CA49" s="27"/>
      <c r="CB49" s="27"/>
      <c r="CC49" s="27"/>
      <c r="CD49" s="27"/>
    </row>
    <row r="50" spans="2:82" ht="15" customHeight="1" x14ac:dyDescent="0.3">
      <c r="K50" s="2" t="s">
        <v>317</v>
      </c>
      <c r="L50" s="234">
        <f>'Form 2C.1 - Design'!W93</f>
        <v>0</v>
      </c>
      <c r="M50" s="234"/>
      <c r="N50" s="222"/>
      <c r="O50" s="28" t="s">
        <v>205</v>
      </c>
      <c r="P50" s="32"/>
      <c r="Q50" s="2"/>
      <c r="R50" s="2"/>
      <c r="S50" s="82"/>
      <c r="Z50" s="2"/>
      <c r="AA50" s="2"/>
      <c r="AB50" s="2"/>
      <c r="AC50" s="2"/>
      <c r="AD50" s="2" t="s">
        <v>317</v>
      </c>
      <c r="AE50" s="179"/>
      <c r="AF50" s="179"/>
      <c r="AG50" s="176"/>
      <c r="AH50" s="28" t="s">
        <v>205</v>
      </c>
      <c r="CA50" s="27"/>
      <c r="CB50" s="27"/>
      <c r="CC50" s="27"/>
      <c r="CD50" s="27"/>
    </row>
    <row r="51" spans="2:82" ht="15" customHeight="1" x14ac:dyDescent="0.3">
      <c r="K51" s="2" t="s">
        <v>315</v>
      </c>
      <c r="L51" s="222">
        <f>'Form 2C.1 - Design'!W94</f>
        <v>0</v>
      </c>
      <c r="M51" s="222"/>
      <c r="N51" s="222"/>
      <c r="O51" s="28" t="s">
        <v>205</v>
      </c>
      <c r="S51" s="64"/>
      <c r="AD51" s="2" t="s">
        <v>315</v>
      </c>
      <c r="AE51" s="222">
        <f>SUM(AA48,AB48,AG48,AE50)</f>
        <v>0</v>
      </c>
      <c r="AF51" s="222"/>
      <c r="AG51" s="222"/>
      <c r="AH51" s="28" t="s">
        <v>205</v>
      </c>
      <c r="CA51" s="27"/>
      <c r="CB51" s="27"/>
      <c r="CC51" s="27"/>
      <c r="CD51" s="27"/>
    </row>
    <row r="52" spans="2:82" ht="15" customHeight="1" x14ac:dyDescent="0.3">
      <c r="AK52" s="33"/>
      <c r="CA52" s="27"/>
      <c r="CB52" s="27"/>
      <c r="CC52" s="27"/>
      <c r="CD52" s="27"/>
    </row>
    <row r="53" spans="2:82" ht="15" customHeight="1" x14ac:dyDescent="0.3">
      <c r="AK53" s="33"/>
      <c r="CA53" s="27"/>
      <c r="CB53" s="27"/>
      <c r="CC53" s="27"/>
      <c r="CD53" s="27"/>
    </row>
    <row r="54" spans="2:82" ht="15" customHeight="1" x14ac:dyDescent="0.3">
      <c r="AK54" s="33"/>
      <c r="CA54" s="27"/>
      <c r="CB54" s="27"/>
      <c r="CC54" s="27"/>
      <c r="CD54" s="27"/>
    </row>
    <row r="55" spans="2:82" ht="15" customHeight="1" x14ac:dyDescent="0.3">
      <c r="AK55" s="33"/>
      <c r="CA55" s="27"/>
      <c r="CB55" s="27"/>
      <c r="CC55" s="27"/>
      <c r="CD55" s="27"/>
    </row>
    <row r="56" spans="2:82" ht="15" customHeight="1" x14ac:dyDescent="0.3">
      <c r="B56" s="203">
        <f>Tables!$F$13</f>
        <v>46266</v>
      </c>
      <c r="C56" s="203"/>
      <c r="D56" s="203"/>
      <c r="E56" s="203"/>
      <c r="F56" s="203"/>
      <c r="G56" s="203"/>
      <c r="H56" s="203"/>
      <c r="R56" s="178" t="s">
        <v>300</v>
      </c>
      <c r="S56" s="178"/>
      <c r="T56" s="178"/>
      <c r="U56" s="178"/>
      <c r="AK56" s="33"/>
      <c r="CA56" s="27"/>
      <c r="CB56" s="27"/>
      <c r="CC56" s="27"/>
      <c r="CD56" s="27"/>
    </row>
    <row r="57" spans="2:82" ht="15" customHeight="1" x14ac:dyDescent="0.3">
      <c r="C57" s="2" t="s">
        <v>1</v>
      </c>
      <c r="D57" s="188">
        <f>IF(ISBLANK($E$7),"",$E$7)</f>
        <v>0</v>
      </c>
      <c r="E57" s="188"/>
      <c r="F57" s="188"/>
      <c r="G57" s="188"/>
      <c r="H57" s="188"/>
      <c r="I57" s="188"/>
      <c r="J57" s="188"/>
      <c r="K57" s="188"/>
      <c r="L57" s="188"/>
      <c r="M57" s="188"/>
      <c r="N57" s="188"/>
      <c r="O57" s="188"/>
      <c r="P57" s="188"/>
      <c r="Q57" s="188"/>
      <c r="R57" s="188"/>
      <c r="S57" s="188"/>
      <c r="T57" s="188"/>
      <c r="U57" s="188"/>
      <c r="V57" s="188"/>
      <c r="W57" s="188"/>
      <c r="X57" s="188"/>
      <c r="Y57" s="188"/>
      <c r="Z57" s="188"/>
      <c r="AA57" s="39"/>
      <c r="AB57" s="39"/>
      <c r="AC57" s="39"/>
      <c r="AF57" s="2" t="s">
        <v>19</v>
      </c>
      <c r="AG57" s="186">
        <f>AF7</f>
        <v>0</v>
      </c>
      <c r="AH57" s="186"/>
      <c r="AI57" s="186"/>
      <c r="AJ57" s="186"/>
      <c r="AK57" s="186"/>
      <c r="CA57" s="27"/>
      <c r="CB57" s="27"/>
      <c r="CC57" s="27"/>
      <c r="CD57" s="27"/>
    </row>
    <row r="58" spans="2:82" ht="15" customHeight="1" x14ac:dyDescent="0.3">
      <c r="H58" s="40"/>
      <c r="I58" s="40"/>
      <c r="J58" s="2"/>
      <c r="K58" s="2"/>
      <c r="L58" s="2"/>
      <c r="M58" s="40"/>
      <c r="N58" s="39"/>
      <c r="O58" s="39"/>
      <c r="P58" s="39"/>
      <c r="Q58" s="39"/>
      <c r="R58" s="39"/>
      <c r="S58" s="39"/>
      <c r="T58" s="39"/>
      <c r="U58" s="39"/>
      <c r="V58" s="39"/>
      <c r="W58" s="39"/>
      <c r="X58" s="39"/>
      <c r="Y58" s="39"/>
      <c r="Z58" s="39"/>
      <c r="AA58" s="39"/>
      <c r="AB58" s="39"/>
      <c r="AC58" s="39"/>
      <c r="AF58" s="2" t="s">
        <v>32</v>
      </c>
      <c r="AG58" s="187">
        <f>IF(ISBLANK($AF$8),"",$AF$8)</f>
        <v>0</v>
      </c>
      <c r="AH58" s="187"/>
      <c r="AI58" s="187"/>
      <c r="AJ58" s="187"/>
      <c r="AK58" s="187"/>
      <c r="BZ58" s="27"/>
      <c r="CA58" s="27"/>
      <c r="CB58" s="27"/>
      <c r="CC58" s="27"/>
      <c r="CD58" s="27"/>
    </row>
    <row r="59" spans="2:82" ht="15" customHeight="1" x14ac:dyDescent="0.3">
      <c r="B59" s="178" t="s">
        <v>303</v>
      </c>
      <c r="C59" s="178"/>
      <c r="D59" s="178"/>
      <c r="E59" s="178"/>
      <c r="F59" s="178"/>
      <c r="G59" s="178"/>
      <c r="H59" s="178"/>
      <c r="I59" s="40"/>
      <c r="K59" s="256" t="s">
        <v>360</v>
      </c>
      <c r="L59" s="178"/>
      <c r="M59" s="178"/>
      <c r="N59" s="178"/>
      <c r="O59" s="178"/>
      <c r="P59" s="178"/>
      <c r="Q59" s="178"/>
      <c r="R59" s="178"/>
      <c r="S59" s="39"/>
      <c r="T59" s="64"/>
      <c r="U59" s="39"/>
      <c r="V59" s="178" t="s">
        <v>303</v>
      </c>
      <c r="W59" s="178"/>
      <c r="X59" s="178"/>
      <c r="Y59" s="178"/>
      <c r="Z59" s="178"/>
      <c r="AA59" s="178"/>
      <c r="AB59" s="178"/>
      <c r="AC59" s="40"/>
      <c r="AD59" s="256" t="s">
        <v>360</v>
      </c>
      <c r="AE59" s="178"/>
      <c r="AF59" s="178"/>
      <c r="AG59" s="178"/>
      <c r="AH59" s="178"/>
      <c r="AI59" s="178"/>
      <c r="AJ59" s="178"/>
      <c r="AK59" s="178"/>
      <c r="AM59" s="13" t="s">
        <v>361</v>
      </c>
      <c r="AN59" s="94">
        <f>'Form 2C.1 - Design'!O95</f>
        <v>0</v>
      </c>
      <c r="AO59" s="22"/>
      <c r="CA59" s="27"/>
      <c r="CB59" s="27"/>
      <c r="CC59" s="27"/>
      <c r="CD59" s="27"/>
    </row>
    <row r="60" spans="2:82" ht="15" customHeight="1" x14ac:dyDescent="0.3">
      <c r="C60" s="28" t="s">
        <v>356</v>
      </c>
      <c r="E60" s="28" t="s">
        <v>357</v>
      </c>
      <c r="H60" s="40"/>
      <c r="I60" s="40"/>
      <c r="K60" s="178" t="s">
        <v>38</v>
      </c>
      <c r="L60" s="178"/>
      <c r="M60" s="178"/>
      <c r="O60" s="39"/>
      <c r="P60" s="39" t="s">
        <v>220</v>
      </c>
      <c r="Q60" s="39"/>
      <c r="R60" s="39"/>
      <c r="S60" s="39"/>
      <c r="T60" s="64"/>
      <c r="U60" s="39"/>
      <c r="W60" s="28" t="s">
        <v>356</v>
      </c>
      <c r="Y60" s="28" t="s">
        <v>357</v>
      </c>
      <c r="AB60" s="40"/>
      <c r="AC60" s="40"/>
      <c r="AD60" s="178" t="s">
        <v>38</v>
      </c>
      <c r="AE60" s="178"/>
      <c r="AF60" s="178"/>
      <c r="AH60" s="39"/>
      <c r="AI60" s="39" t="s">
        <v>220</v>
      </c>
      <c r="AJ60" s="39"/>
      <c r="AK60" s="39"/>
      <c r="CA60" s="27"/>
      <c r="CB60" s="27"/>
      <c r="CC60" s="27"/>
      <c r="CD60" s="27"/>
    </row>
    <row r="61" spans="2:82" ht="15" customHeight="1" x14ac:dyDescent="0.3">
      <c r="B61" s="255">
        <f>'Form 2C.1 - Design'!K97</f>
        <v>0</v>
      </c>
      <c r="C61" s="255"/>
      <c r="D61" s="255"/>
      <c r="F61" s="229">
        <f>'Form 2C.1 - Design'!O97</f>
        <v>0</v>
      </c>
      <c r="G61" s="229"/>
      <c r="H61" s="12" t="s">
        <v>39</v>
      </c>
      <c r="K61" s="229">
        <f>'Form 2C.1 - Design'!Y97</f>
        <v>0</v>
      </c>
      <c r="L61" s="230"/>
      <c r="M61" s="230"/>
      <c r="N61" s="28" t="s">
        <v>40</v>
      </c>
      <c r="O61" s="39"/>
      <c r="P61" s="229">
        <f>'Form 2C.1 - Design'!T97</f>
        <v>0</v>
      </c>
      <c r="Q61" s="229"/>
      <c r="R61" s="39" t="s">
        <v>39</v>
      </c>
      <c r="S61" s="39"/>
      <c r="T61" s="64"/>
      <c r="U61" s="39"/>
      <c r="V61" s="209"/>
      <c r="W61" s="209"/>
      <c r="X61" s="209"/>
      <c r="Z61" s="181"/>
      <c r="AA61" s="181"/>
      <c r="AB61" s="12" t="s">
        <v>39</v>
      </c>
      <c r="AD61" s="181"/>
      <c r="AE61" s="181"/>
      <c r="AF61" s="181"/>
      <c r="AG61" s="28" t="s">
        <v>40</v>
      </c>
      <c r="AH61" s="39"/>
      <c r="AI61" s="181"/>
      <c r="AJ61" s="181"/>
      <c r="AK61" s="39" t="s">
        <v>39</v>
      </c>
      <c r="AM61" s="94">
        <v>1</v>
      </c>
      <c r="AN61" s="94">
        <f>IF(AM61&lt;=$AN$59,2,1)</f>
        <v>1</v>
      </c>
      <c r="AO61" s="22"/>
      <c r="CA61" s="27"/>
      <c r="CB61" s="27"/>
      <c r="CC61" s="27"/>
      <c r="CD61" s="27"/>
    </row>
    <row r="62" spans="2:82" ht="15" customHeight="1" x14ac:dyDescent="0.3">
      <c r="B62" s="251">
        <f>'Form 2C.1 - Design'!K101</f>
        <v>0</v>
      </c>
      <c r="C62" s="251"/>
      <c r="D62" s="251"/>
      <c r="F62" s="233">
        <f>'Form 2C.1 - Design'!O101</f>
        <v>0</v>
      </c>
      <c r="G62" s="233"/>
      <c r="H62" s="12" t="s">
        <v>39</v>
      </c>
      <c r="K62" s="233">
        <f>'Form 2C.1 - Design'!Y101</f>
        <v>0</v>
      </c>
      <c r="L62" s="243"/>
      <c r="M62" s="243"/>
      <c r="N62" s="28" t="s">
        <v>40</v>
      </c>
      <c r="O62" s="39"/>
      <c r="P62" s="233">
        <f>'Form 2C.1 - Design'!T101</f>
        <v>0</v>
      </c>
      <c r="Q62" s="233"/>
      <c r="R62" s="39" t="s">
        <v>39</v>
      </c>
      <c r="S62" s="39"/>
      <c r="T62" s="64"/>
      <c r="U62" s="39"/>
      <c r="V62" s="212"/>
      <c r="W62" s="212"/>
      <c r="X62" s="212"/>
      <c r="Z62" s="180"/>
      <c r="AA62" s="180"/>
      <c r="AB62" s="12" t="s">
        <v>39</v>
      </c>
      <c r="AD62" s="180"/>
      <c r="AE62" s="180"/>
      <c r="AF62" s="180"/>
      <c r="AG62" s="28" t="s">
        <v>40</v>
      </c>
      <c r="AH62" s="39"/>
      <c r="AI62" s="180"/>
      <c r="AJ62" s="180"/>
      <c r="AK62" s="39" t="s">
        <v>39</v>
      </c>
      <c r="AM62" s="94">
        <v>2</v>
      </c>
      <c r="AN62" s="94">
        <f>IF(AM62&lt;=$AN$59,2,1)</f>
        <v>1</v>
      </c>
      <c r="AO62" s="22"/>
      <c r="CA62" s="27"/>
      <c r="CB62" s="27"/>
      <c r="CC62" s="27"/>
      <c r="CD62" s="27"/>
    </row>
    <row r="63" spans="2:82" ht="15" customHeight="1" x14ac:dyDescent="0.3">
      <c r="B63" s="251">
        <f>'Form 2C.1 - Design'!K105</f>
        <v>0</v>
      </c>
      <c r="C63" s="251"/>
      <c r="D63" s="251"/>
      <c r="F63" s="233">
        <f>'Form 2C.1 - Design'!O105</f>
        <v>0</v>
      </c>
      <c r="G63" s="233"/>
      <c r="H63" s="12" t="s">
        <v>39</v>
      </c>
      <c r="K63" s="233">
        <f>'Form 2C.1 - Design'!Y105</f>
        <v>0</v>
      </c>
      <c r="L63" s="243"/>
      <c r="M63" s="243"/>
      <c r="N63" s="28" t="s">
        <v>40</v>
      </c>
      <c r="O63" s="39"/>
      <c r="P63" s="233">
        <f>'Form 2C.1 - Design'!T105</f>
        <v>0</v>
      </c>
      <c r="Q63" s="233"/>
      <c r="R63" s="39" t="s">
        <v>39</v>
      </c>
      <c r="S63" s="39"/>
      <c r="T63" s="64"/>
      <c r="U63" s="39"/>
      <c r="V63" s="212"/>
      <c r="W63" s="212"/>
      <c r="X63" s="212"/>
      <c r="Z63" s="180"/>
      <c r="AA63" s="180"/>
      <c r="AB63" s="12" t="s">
        <v>39</v>
      </c>
      <c r="AD63" s="180"/>
      <c r="AE63" s="180"/>
      <c r="AF63" s="180"/>
      <c r="AG63" s="28" t="s">
        <v>40</v>
      </c>
      <c r="AH63" s="39"/>
      <c r="AI63" s="180"/>
      <c r="AJ63" s="180"/>
      <c r="AK63" s="39" t="s">
        <v>39</v>
      </c>
      <c r="AM63" s="94">
        <v>3</v>
      </c>
      <c r="AN63" s="94">
        <f>IF(AM63&lt;=$AN$59,2,1)</f>
        <v>1</v>
      </c>
      <c r="AO63" s="22"/>
      <c r="CA63" s="27"/>
      <c r="CB63" s="27"/>
      <c r="CC63" s="27"/>
      <c r="CD63" s="27"/>
    </row>
    <row r="64" spans="2:82" ht="4.95" customHeight="1" x14ac:dyDescent="0.3">
      <c r="H64" s="40"/>
      <c r="I64" s="40"/>
      <c r="J64" s="2"/>
      <c r="K64" s="2"/>
      <c r="L64" s="2"/>
      <c r="M64" s="40"/>
      <c r="N64" s="39"/>
      <c r="O64" s="39"/>
      <c r="P64" s="39"/>
      <c r="Q64" s="39"/>
      <c r="R64" s="39"/>
      <c r="S64" s="39"/>
      <c r="T64" s="64"/>
      <c r="U64" s="39"/>
      <c r="V64" s="39"/>
      <c r="W64" s="39"/>
      <c r="X64" s="39"/>
      <c r="Y64" s="39"/>
      <c r="Z64" s="39"/>
      <c r="AA64" s="39"/>
      <c r="AB64" s="39"/>
      <c r="AC64" s="39"/>
      <c r="CA64" s="27"/>
      <c r="CB64" s="27"/>
      <c r="CC64" s="27"/>
      <c r="CD64" s="27"/>
    </row>
    <row r="65" spans="1:84" ht="15" customHeight="1" x14ac:dyDescent="0.3">
      <c r="B65" s="81" t="s">
        <v>221</v>
      </c>
      <c r="J65" s="162">
        <f>'Form 2C.1 - Design'!I114</f>
        <v>0</v>
      </c>
      <c r="K65" s="28" t="s">
        <v>295</v>
      </c>
      <c r="O65" s="2" t="s">
        <v>156</v>
      </c>
      <c r="P65" s="229">
        <f>'Form 2C.1 - Design'!T114</f>
        <v>0</v>
      </c>
      <c r="Q65" s="230"/>
      <c r="R65" s="28" t="s">
        <v>39</v>
      </c>
      <c r="T65" s="64"/>
      <c r="V65" s="81" t="s">
        <v>221</v>
      </c>
      <c r="AC65" s="161"/>
      <c r="AD65" s="28" t="s">
        <v>295</v>
      </c>
      <c r="AH65" s="2" t="s">
        <v>156</v>
      </c>
      <c r="AI65" s="181"/>
      <c r="AJ65" s="181"/>
      <c r="AK65" s="28" t="s">
        <v>39</v>
      </c>
      <c r="AM65" s="94">
        <f>IF(ISBLANK(AC65),1,2)</f>
        <v>1</v>
      </c>
      <c r="CA65" s="27"/>
      <c r="CB65" s="27"/>
      <c r="CC65" s="27"/>
      <c r="CD65" s="27"/>
    </row>
    <row r="66" spans="1:84" ht="15" customHeight="1" x14ac:dyDescent="0.3">
      <c r="E66" s="2" t="s">
        <v>157</v>
      </c>
      <c r="F66" s="231">
        <f>'Form 2C.1 - Design'!N114</f>
        <v>0</v>
      </c>
      <c r="G66" s="231"/>
      <c r="H66" s="231"/>
      <c r="I66" s="231"/>
      <c r="N66" s="2" t="s">
        <v>232</v>
      </c>
      <c r="O66" s="229">
        <f>'Form 2C.1 - Design'!Y114</f>
        <v>0</v>
      </c>
      <c r="P66" s="230"/>
      <c r="Q66" s="230"/>
      <c r="R66" s="28" t="s">
        <v>40</v>
      </c>
      <c r="T66" s="64"/>
      <c r="Y66" s="2" t="s">
        <v>157</v>
      </c>
      <c r="Z66" s="206"/>
      <c r="AA66" s="206"/>
      <c r="AB66" s="206"/>
      <c r="AC66" s="206"/>
      <c r="AG66" s="2" t="s">
        <v>232</v>
      </c>
      <c r="AH66" s="181"/>
      <c r="AI66" s="181"/>
      <c r="AJ66" s="181"/>
      <c r="AK66" s="28" t="s">
        <v>40</v>
      </c>
      <c r="AW66" s="27"/>
      <c r="AX66" s="29"/>
      <c r="AY66" s="29"/>
      <c r="AZ66" s="29"/>
      <c r="BA66" s="29"/>
      <c r="BB66" s="29"/>
      <c r="BC66" s="29"/>
      <c r="BD66" s="29"/>
      <c r="BE66" s="29"/>
      <c r="BF66" s="29"/>
      <c r="BG66" s="29"/>
      <c r="BH66" s="29"/>
      <c r="BI66" s="29"/>
      <c r="BJ66" s="29"/>
      <c r="BK66" s="29"/>
      <c r="BL66" s="29"/>
      <c r="BM66" s="29"/>
      <c r="BN66" s="29"/>
      <c r="BO66" s="29"/>
      <c r="BP66" s="29"/>
      <c r="BQ66" s="29"/>
      <c r="BR66" s="29"/>
      <c r="BS66" s="29"/>
      <c r="BT66" s="29"/>
      <c r="BU66" s="29"/>
      <c r="BV66" s="29"/>
      <c r="BW66" s="29"/>
      <c r="BX66" s="29"/>
      <c r="BY66" s="29"/>
      <c r="BZ66" s="27"/>
      <c r="CA66" s="27"/>
      <c r="CB66" s="27"/>
      <c r="CC66" s="27"/>
      <c r="CD66" s="27"/>
    </row>
    <row r="67" spans="1:84" ht="4.95" customHeight="1" x14ac:dyDescent="0.3">
      <c r="T67" s="64"/>
      <c r="AW67" s="27"/>
      <c r="AX67" s="29"/>
      <c r="AY67" s="29"/>
      <c r="AZ67" s="29"/>
      <c r="BA67" s="29"/>
      <c r="BB67" s="29"/>
      <c r="BC67" s="29"/>
      <c r="BD67" s="29"/>
      <c r="BE67" s="29"/>
      <c r="BF67" s="29"/>
      <c r="BG67" s="29"/>
      <c r="BH67" s="29"/>
      <c r="BI67" s="29"/>
      <c r="BJ67" s="29"/>
      <c r="BK67" s="29"/>
      <c r="BL67" s="29"/>
      <c r="BM67" s="29"/>
      <c r="BN67" s="29"/>
      <c r="BO67" s="29"/>
      <c r="BP67" s="29"/>
      <c r="BQ67" s="29"/>
      <c r="BR67" s="29"/>
      <c r="BS67" s="29"/>
      <c r="BT67" s="29"/>
      <c r="BU67" s="29"/>
      <c r="BV67" s="29"/>
      <c r="BW67" s="29"/>
      <c r="BX67" s="29"/>
      <c r="BY67" s="29"/>
      <c r="BZ67" s="27"/>
      <c r="CA67" s="27"/>
      <c r="CB67" s="27"/>
      <c r="CC67" s="27"/>
      <c r="CD67" s="27"/>
    </row>
    <row r="68" spans="1:84" ht="15" customHeight="1" x14ac:dyDescent="0.3">
      <c r="B68" s="81" t="s">
        <v>222</v>
      </c>
      <c r="J68" s="162">
        <f>'Form 2C.1 - Design'!I116</f>
        <v>0</v>
      </c>
      <c r="K68" s="28" t="s">
        <v>295</v>
      </c>
      <c r="O68" s="2" t="s">
        <v>156</v>
      </c>
      <c r="P68" s="229">
        <f>'Form 2C.1 - Design'!T116</f>
        <v>0</v>
      </c>
      <c r="Q68" s="229"/>
      <c r="R68" s="28" t="s">
        <v>39</v>
      </c>
      <c r="T68" s="64"/>
      <c r="V68" s="81" t="s">
        <v>222</v>
      </c>
      <c r="AC68" s="161"/>
      <c r="AD68" s="28" t="s">
        <v>295</v>
      </c>
      <c r="AH68" s="2" t="s">
        <v>156</v>
      </c>
      <c r="AI68" s="181"/>
      <c r="AJ68" s="181"/>
      <c r="AK68" s="28" t="s">
        <v>39</v>
      </c>
      <c r="AM68" s="94">
        <f>IF(ISBLANK(AC68),1,2)</f>
        <v>1</v>
      </c>
      <c r="AW68" s="27"/>
      <c r="AX68" s="29"/>
      <c r="AY68" s="29"/>
      <c r="AZ68" s="29"/>
      <c r="BA68" s="29"/>
      <c r="BB68" s="29"/>
      <c r="BC68" s="29"/>
      <c r="BD68" s="29"/>
      <c r="BE68" s="29"/>
      <c r="BF68" s="29"/>
      <c r="BG68" s="29"/>
      <c r="BH68" s="29"/>
      <c r="BI68" s="29"/>
      <c r="BJ68" s="29"/>
      <c r="BK68" s="29"/>
      <c r="BL68" s="29"/>
      <c r="BM68" s="29"/>
      <c r="BN68" s="29"/>
      <c r="BO68" s="29"/>
      <c r="BP68" s="29"/>
      <c r="BQ68" s="29"/>
      <c r="BR68" s="29"/>
      <c r="BS68" s="29"/>
      <c r="BT68" s="29"/>
      <c r="BU68" s="29"/>
      <c r="BV68" s="29"/>
      <c r="BW68" s="29"/>
      <c r="BX68" s="29"/>
      <c r="BY68" s="29"/>
      <c r="BZ68" s="27"/>
      <c r="CA68" s="27"/>
      <c r="CB68" s="27"/>
      <c r="CC68" s="27"/>
      <c r="CD68" s="27"/>
    </row>
    <row r="69" spans="1:84" ht="15" customHeight="1" x14ac:dyDescent="0.3">
      <c r="E69" s="2" t="s">
        <v>157</v>
      </c>
      <c r="F69" s="231">
        <f>'Form 2C.1 - Design'!N116</f>
        <v>0</v>
      </c>
      <c r="G69" s="231"/>
      <c r="H69" s="231"/>
      <c r="I69" s="231"/>
      <c r="O69" s="2" t="s">
        <v>226</v>
      </c>
      <c r="P69" s="252">
        <f>'Form 2C.1 - Design'!AD116</f>
        <v>0</v>
      </c>
      <c r="Q69" s="252"/>
      <c r="R69" s="28" t="s">
        <v>219</v>
      </c>
      <c r="T69" s="64"/>
      <c r="Y69" s="2" t="s">
        <v>157</v>
      </c>
      <c r="Z69" s="206"/>
      <c r="AA69" s="206"/>
      <c r="AB69" s="206"/>
      <c r="AC69" s="206"/>
      <c r="AH69" s="2" t="s">
        <v>226</v>
      </c>
      <c r="AI69" s="217"/>
      <c r="AJ69" s="217"/>
      <c r="AK69" s="28" t="s">
        <v>219</v>
      </c>
      <c r="AM69" s="94">
        <f>IF(ISBLANK(AI69),1,2)</f>
        <v>1</v>
      </c>
      <c r="AW69" s="27"/>
      <c r="AX69" s="29"/>
      <c r="AY69" s="29"/>
      <c r="AZ69" s="29"/>
      <c r="BA69" s="29"/>
      <c r="BB69" s="29"/>
      <c r="BC69" s="29"/>
      <c r="BD69" s="29"/>
      <c r="BE69" s="29"/>
      <c r="BF69" s="29"/>
      <c r="BG69" s="29"/>
      <c r="BH69" s="29"/>
      <c r="BI69" s="29"/>
      <c r="BJ69" s="29"/>
      <c r="BK69" s="29"/>
      <c r="BL69" s="29"/>
      <c r="BM69" s="29"/>
      <c r="BN69" s="29"/>
      <c r="BO69" s="29"/>
      <c r="BP69" s="29"/>
      <c r="BQ69" s="29"/>
      <c r="BR69" s="29"/>
      <c r="BS69" s="29"/>
      <c r="BT69" s="29"/>
      <c r="BU69" s="29"/>
      <c r="BV69" s="29"/>
      <c r="BW69" s="29"/>
      <c r="BX69" s="29"/>
      <c r="BY69" s="29"/>
      <c r="BZ69" s="27"/>
      <c r="CA69" s="27"/>
      <c r="CB69" s="27"/>
      <c r="CC69" s="27"/>
      <c r="CD69" s="27"/>
    </row>
    <row r="70" spans="1:84" ht="4.95" customHeight="1" x14ac:dyDescent="0.3">
      <c r="AV70" s="26"/>
      <c r="AW70" s="27"/>
      <c r="AX70" s="29"/>
      <c r="AY70" s="29"/>
      <c r="AZ70" s="29"/>
      <c r="BA70" s="29"/>
      <c r="BB70" s="29"/>
      <c r="BC70" s="29"/>
      <c r="BD70" s="29"/>
      <c r="BE70" s="29"/>
      <c r="BF70" s="29"/>
      <c r="BG70" s="29"/>
      <c r="BH70" s="29"/>
      <c r="BI70" s="29"/>
      <c r="BJ70" s="29"/>
      <c r="BK70" s="29"/>
      <c r="BL70" s="29"/>
      <c r="BM70" s="29"/>
      <c r="BN70" s="29"/>
      <c r="BO70" s="29"/>
      <c r="BP70" s="29"/>
      <c r="BQ70" s="29"/>
      <c r="BR70" s="29"/>
      <c r="BS70" s="29"/>
      <c r="BT70" s="29"/>
      <c r="BU70" s="29"/>
      <c r="BV70" s="29"/>
      <c r="BW70" s="29"/>
      <c r="BX70" s="29"/>
      <c r="BY70" s="29"/>
      <c r="BZ70"/>
      <c r="CA70" s="27"/>
      <c r="CB70" s="27"/>
      <c r="CC70" s="27"/>
      <c r="CD70" s="27"/>
    </row>
    <row r="71" spans="1:84" ht="15" customHeight="1" x14ac:dyDescent="0.3">
      <c r="A71" s="239" t="s">
        <v>414</v>
      </c>
      <c r="B71" s="239"/>
      <c r="C71" s="239"/>
      <c r="D71" s="239"/>
      <c r="E71" s="239"/>
      <c r="F71" s="239"/>
      <c r="G71" s="239"/>
      <c r="H71" s="239"/>
      <c r="I71" s="239"/>
      <c r="J71" s="239"/>
      <c r="K71" s="239"/>
      <c r="L71" s="239"/>
      <c r="M71" s="239"/>
      <c r="N71" s="239"/>
      <c r="O71" s="239"/>
      <c r="P71" s="239"/>
      <c r="Q71" s="239"/>
      <c r="R71" s="239"/>
      <c r="S71" s="239"/>
      <c r="T71" s="239"/>
      <c r="U71" s="239"/>
      <c r="V71" s="239"/>
      <c r="W71" s="239"/>
      <c r="X71" s="239"/>
      <c r="Y71" s="239"/>
      <c r="Z71" s="239"/>
      <c r="AA71" s="239"/>
      <c r="AB71" s="239"/>
      <c r="AC71" s="239"/>
      <c r="AD71" s="239"/>
      <c r="AE71" s="239"/>
      <c r="AF71" s="239"/>
      <c r="AG71" s="239"/>
      <c r="AH71" s="239"/>
      <c r="AI71" s="239"/>
      <c r="AJ71" s="239"/>
      <c r="AK71" s="239"/>
      <c r="AL71" s="239"/>
      <c r="AM71" s="56"/>
      <c r="AN71" s="56"/>
      <c r="AO71" s="56"/>
      <c r="CA71" s="27"/>
      <c r="CB71" s="27"/>
      <c r="CC71" s="27"/>
      <c r="CD71" s="27"/>
    </row>
    <row r="72" spans="1:84" ht="15" customHeight="1" x14ac:dyDescent="0.3">
      <c r="B72" s="1" t="s">
        <v>54</v>
      </c>
      <c r="C72" s="1"/>
      <c r="D72" s="1"/>
      <c r="E72" s="1"/>
      <c r="F72" s="1"/>
      <c r="G72" s="1"/>
      <c r="I72" s="1"/>
      <c r="J72" s="1"/>
      <c r="K72" s="1"/>
      <c r="L72" s="1"/>
      <c r="M72" s="1"/>
      <c r="N72" s="1"/>
      <c r="O72" s="1"/>
      <c r="P72" s="1"/>
      <c r="Q72" s="1"/>
      <c r="R72" s="1"/>
      <c r="S72" s="1"/>
      <c r="T72" s="1"/>
      <c r="U72" s="30"/>
      <c r="V72" s="1" t="s">
        <v>55</v>
      </c>
      <c r="X72" s="1"/>
      <c r="Y72" s="1"/>
      <c r="Z72" s="1"/>
      <c r="AA72" s="1"/>
      <c r="AB72" s="1"/>
      <c r="AC72" s="1"/>
      <c r="AD72" s="1"/>
      <c r="AE72" s="1"/>
      <c r="AF72" s="1"/>
      <c r="AG72" s="1"/>
      <c r="AH72" s="1"/>
      <c r="AI72" s="1"/>
      <c r="AJ72" s="61"/>
      <c r="AK72" s="61"/>
      <c r="CA72" s="27"/>
      <c r="CB72" s="27"/>
      <c r="CC72" s="27"/>
      <c r="CD72" s="27"/>
    </row>
    <row r="73" spans="1:84" ht="15" customHeight="1" x14ac:dyDescent="0.3">
      <c r="C73" s="2"/>
      <c r="D73" s="2" t="s">
        <v>157</v>
      </c>
      <c r="E73" s="231">
        <f>'Form 2C.1 - Design'!F119</f>
        <v>0</v>
      </c>
      <c r="F73" s="231"/>
      <c r="G73" s="231"/>
      <c r="H73" s="231"/>
      <c r="M73" s="2" t="s">
        <v>158</v>
      </c>
      <c r="N73" s="188">
        <f>'Form 2C.1 - Design'!P119</f>
        <v>0</v>
      </c>
      <c r="O73" s="188"/>
      <c r="P73" s="188"/>
      <c r="Q73" s="188"/>
      <c r="U73" s="30"/>
      <c r="X73" s="2" t="s">
        <v>157</v>
      </c>
      <c r="Y73" s="206"/>
      <c r="Z73" s="206"/>
      <c r="AA73" s="206"/>
      <c r="AB73" s="206"/>
      <c r="AC73" s="1"/>
      <c r="AG73" s="2" t="s">
        <v>30</v>
      </c>
      <c r="AH73" s="206"/>
      <c r="AI73" s="206"/>
      <c r="AJ73" s="206"/>
      <c r="AK73" s="206"/>
      <c r="CA73"/>
      <c r="CB73"/>
      <c r="CC73"/>
      <c r="CD73"/>
      <c r="CE73" s="31"/>
      <c r="CF73" s="31"/>
    </row>
    <row r="74" spans="1:84" ht="15" customHeight="1" x14ac:dyDescent="0.3">
      <c r="C74" s="2"/>
      <c r="D74" s="2" t="s">
        <v>156</v>
      </c>
      <c r="E74" s="232">
        <f>'Form 2C.1 - Design'!F120</f>
        <v>0</v>
      </c>
      <c r="F74" s="232"/>
      <c r="G74" s="232"/>
      <c r="H74" s="7" t="s">
        <v>40</v>
      </c>
      <c r="U74" s="30"/>
      <c r="X74" s="2" t="s">
        <v>156</v>
      </c>
      <c r="Y74" s="180"/>
      <c r="Z74" s="180"/>
      <c r="AA74" s="180"/>
      <c r="AB74" s="28" t="s">
        <v>40</v>
      </c>
      <c r="AM74" s="94">
        <f>IF(ISBLANK(Y74),1,2)</f>
        <v>1</v>
      </c>
      <c r="CA74"/>
      <c r="CB74"/>
      <c r="CC74"/>
      <c r="CD74"/>
      <c r="CE74" s="31"/>
      <c r="CF74" s="31"/>
    </row>
    <row r="75" spans="1:84" ht="15" customHeight="1" x14ac:dyDescent="0.3">
      <c r="C75" s="2"/>
      <c r="D75" s="2" t="s">
        <v>155</v>
      </c>
      <c r="E75" s="232">
        <f>'Form 2C.1 - Design'!F121</f>
        <v>0</v>
      </c>
      <c r="F75" s="232"/>
      <c r="G75" s="232"/>
      <c r="H75" s="7" t="s">
        <v>40</v>
      </c>
      <c r="L75" s="2" t="s">
        <v>159</v>
      </c>
      <c r="M75" s="247">
        <f>'Form 2C.1 - Design'!P121</f>
        <v>0</v>
      </c>
      <c r="N75" s="247"/>
      <c r="O75" s="247"/>
      <c r="P75" s="28" t="s">
        <v>40</v>
      </c>
      <c r="U75" s="30"/>
      <c r="X75" s="2" t="s">
        <v>155</v>
      </c>
      <c r="Y75" s="180"/>
      <c r="Z75" s="180"/>
      <c r="AA75" s="180"/>
      <c r="AB75" s="28" t="s">
        <v>40</v>
      </c>
      <c r="AG75" s="2" t="s">
        <v>41</v>
      </c>
      <c r="AH75" s="181"/>
      <c r="AI75" s="181"/>
      <c r="AJ75" s="181"/>
      <c r="AK75" s="28" t="s">
        <v>40</v>
      </c>
      <c r="AM75" s="94">
        <f>IF(AND(ISBLANK(Y75),ISBLANK(AH75)),1,2)</f>
        <v>1</v>
      </c>
      <c r="CA75"/>
      <c r="CB75"/>
      <c r="CC75"/>
      <c r="CD75"/>
    </row>
    <row r="76" spans="1:84" ht="15" customHeight="1" x14ac:dyDescent="0.3">
      <c r="C76" s="2"/>
      <c r="D76" s="2" t="s">
        <v>154</v>
      </c>
      <c r="E76" s="232">
        <f>'Form 2C.1 - Design'!F122</f>
        <v>0</v>
      </c>
      <c r="F76" s="232"/>
      <c r="G76" s="232"/>
      <c r="H76" s="7" t="s">
        <v>40</v>
      </c>
      <c r="L76" s="2" t="s">
        <v>160</v>
      </c>
      <c r="M76" s="232">
        <f>'Form 2C.1 - Design'!P122</f>
        <v>0</v>
      </c>
      <c r="N76" s="232"/>
      <c r="O76" s="232"/>
      <c r="P76" s="28" t="s">
        <v>40</v>
      </c>
      <c r="U76" s="30"/>
      <c r="X76" s="2" t="s">
        <v>154</v>
      </c>
      <c r="Y76" s="180"/>
      <c r="Z76" s="180"/>
      <c r="AA76" s="180"/>
      <c r="AB76" s="28" t="s">
        <v>40</v>
      </c>
      <c r="AG76" s="2" t="s">
        <v>42</v>
      </c>
      <c r="AH76" s="180"/>
      <c r="AI76" s="180"/>
      <c r="AJ76" s="180"/>
      <c r="AK76" s="28" t="s">
        <v>40</v>
      </c>
      <c r="CA76"/>
      <c r="CB76"/>
      <c r="CC76"/>
      <c r="CD76"/>
    </row>
    <row r="77" spans="1:84" ht="4.95" customHeight="1" x14ac:dyDescent="0.3">
      <c r="C77" s="2"/>
      <c r="D77" s="2"/>
      <c r="E77" s="2"/>
      <c r="F77" s="2"/>
      <c r="G77" s="2"/>
      <c r="H77" s="10"/>
      <c r="I77" s="7"/>
      <c r="M77" s="2"/>
      <c r="N77" s="11"/>
      <c r="O77" s="11"/>
      <c r="P77" s="11"/>
      <c r="U77" s="30"/>
      <c r="X77" s="2"/>
      <c r="Z77" s="2"/>
      <c r="AA77" s="32"/>
      <c r="AB77" s="32"/>
      <c r="AC77" s="32"/>
      <c r="AH77" s="2"/>
      <c r="AI77" s="33"/>
      <c r="AJ77" s="33"/>
      <c r="AK77" s="33"/>
      <c r="CA77"/>
      <c r="CB77"/>
      <c r="CC77"/>
      <c r="CD77"/>
    </row>
    <row r="78" spans="1:84" ht="15" customHeight="1" x14ac:dyDescent="0.3">
      <c r="C78" s="2"/>
      <c r="D78" s="2" t="s">
        <v>149</v>
      </c>
      <c r="E78" s="162">
        <f>'Form 2C.1 - Design'!AF122</f>
        <v>0</v>
      </c>
      <c r="F78" s="28" t="s">
        <v>115</v>
      </c>
      <c r="H78" s="162">
        <f>'Form 2C.1 - Design'!AI122</f>
        <v>0</v>
      </c>
      <c r="I78" s="28" t="s">
        <v>116</v>
      </c>
      <c r="U78" s="30"/>
      <c r="X78" s="2" t="s">
        <v>149</v>
      </c>
      <c r="Y78" s="161"/>
      <c r="Z78" s="28" t="s">
        <v>115</v>
      </c>
      <c r="AB78" s="161"/>
      <c r="AC78" s="28" t="s">
        <v>116</v>
      </c>
      <c r="AM78" s="94">
        <f>IF(AND(ISBLANK(Y78),ISBLANK(AB78)),1,2)</f>
        <v>1</v>
      </c>
      <c r="CA78"/>
      <c r="CB78"/>
      <c r="CC78"/>
      <c r="CD78"/>
    </row>
    <row r="79" spans="1:84" ht="15" customHeight="1" x14ac:dyDescent="0.3">
      <c r="E79" s="12" t="s">
        <v>31</v>
      </c>
      <c r="H79" s="4"/>
      <c r="J79" s="4" t="s">
        <v>543</v>
      </c>
      <c r="K79" s="4"/>
      <c r="L79" s="4"/>
      <c r="N79" s="4" t="s">
        <v>544</v>
      </c>
      <c r="O79" s="4"/>
      <c r="R79" s="4" t="s">
        <v>38</v>
      </c>
      <c r="S79" s="4"/>
      <c r="U79" s="30"/>
      <c r="W79" s="12" t="s">
        <v>31</v>
      </c>
      <c r="X79" s="4"/>
      <c r="Y79" s="4"/>
      <c r="Z79" s="4"/>
      <c r="AB79" s="4" t="s">
        <v>543</v>
      </c>
      <c r="AC79" s="4"/>
      <c r="AD79" s="4"/>
      <c r="AF79" s="4" t="s">
        <v>544</v>
      </c>
      <c r="AG79" s="4"/>
      <c r="AJ79" s="4" t="s">
        <v>38</v>
      </c>
      <c r="AK79" s="4"/>
      <c r="AM79" s="22"/>
      <c r="CA79"/>
      <c r="CB79"/>
      <c r="CC79"/>
      <c r="CD79"/>
    </row>
    <row r="80" spans="1:84" ht="15" customHeight="1" x14ac:dyDescent="0.3">
      <c r="C80" s="2"/>
      <c r="D80" s="2" t="s">
        <v>153</v>
      </c>
      <c r="E80" s="188">
        <f>'Form 2C.1 - Design'!F125</f>
        <v>0</v>
      </c>
      <c r="F80" s="188"/>
      <c r="G80" s="188"/>
      <c r="I80" s="247">
        <f>'Form 2C.1 - Design'!K125</f>
        <v>0</v>
      </c>
      <c r="J80" s="247"/>
      <c r="K80" s="247"/>
      <c r="L80" s="28" t="s">
        <v>39</v>
      </c>
      <c r="M80" s="247">
        <f>'Form 2C.1 - Design'!P125</f>
        <v>0</v>
      </c>
      <c r="N80" s="247"/>
      <c r="O80" s="247"/>
      <c r="P80" s="28" t="s">
        <v>39</v>
      </c>
      <c r="Q80" s="247">
        <f>'Form 2C.1 - Design'!U125</f>
        <v>0</v>
      </c>
      <c r="R80" s="247"/>
      <c r="S80" s="247"/>
      <c r="T80" s="28" t="s">
        <v>40</v>
      </c>
      <c r="U80" s="30"/>
      <c r="W80" s="206"/>
      <c r="X80" s="206"/>
      <c r="Y80" s="206"/>
      <c r="AA80" s="181"/>
      <c r="AB80" s="181"/>
      <c r="AC80" s="181"/>
      <c r="AD80" s="28" t="s">
        <v>39</v>
      </c>
      <c r="AE80" s="181"/>
      <c r="AF80" s="181"/>
      <c r="AG80" s="181"/>
      <c r="AH80" s="28" t="s">
        <v>39</v>
      </c>
      <c r="AI80" s="181"/>
      <c r="AJ80" s="181"/>
      <c r="AK80" s="181"/>
      <c r="AL80" s="28" t="s">
        <v>40</v>
      </c>
      <c r="AM80" s="94">
        <f>IF(ISBLANK(W80),1,2)</f>
        <v>1</v>
      </c>
      <c r="CA80" s="31"/>
      <c r="CB80" s="31"/>
      <c r="CC80" s="31"/>
      <c r="CD80" s="31"/>
    </row>
    <row r="81" spans="1:82" ht="15" customHeight="1" x14ac:dyDescent="0.3">
      <c r="C81" s="2"/>
      <c r="D81" s="2" t="s">
        <v>152</v>
      </c>
      <c r="E81" s="244">
        <f>'Form 2C.1 - Design'!F127</f>
        <v>0</v>
      </c>
      <c r="F81" s="244"/>
      <c r="G81" s="244"/>
      <c r="I81" s="232">
        <f>'Form 2C.1 - Design'!K127</f>
        <v>0</v>
      </c>
      <c r="J81" s="232"/>
      <c r="K81" s="232"/>
      <c r="L81" s="28" t="str">
        <f>'Form 2C.1 - Design'!N127</f>
        <v>in</v>
      </c>
      <c r="M81" s="232">
        <f>'Form 2C.1 - Design'!P127</f>
        <v>0</v>
      </c>
      <c r="N81" s="232"/>
      <c r="O81" s="232"/>
      <c r="P81" s="28" t="s">
        <v>39</v>
      </c>
      <c r="Q81" s="232">
        <f>'Form 2C.1 - Design'!U127</f>
        <v>0</v>
      </c>
      <c r="R81" s="232"/>
      <c r="S81" s="232"/>
      <c r="T81" s="28" t="s">
        <v>40</v>
      </c>
      <c r="U81" s="30"/>
      <c r="W81" s="202"/>
      <c r="X81" s="202"/>
      <c r="Y81" s="202"/>
      <c r="AA81" s="180"/>
      <c r="AB81" s="180"/>
      <c r="AC81" s="180"/>
      <c r="AD81" s="28" t="str">
        <f>IF(W81="V-notch","deg","in")</f>
        <v>in</v>
      </c>
      <c r="AE81" s="180"/>
      <c r="AF81" s="180"/>
      <c r="AG81" s="180"/>
      <c r="AH81" s="28" t="s">
        <v>39</v>
      </c>
      <c r="AI81" s="180"/>
      <c r="AJ81" s="180"/>
      <c r="AK81" s="180"/>
      <c r="AL81" s="28" t="s">
        <v>40</v>
      </c>
      <c r="AM81" s="94">
        <f>IF(ISBLANK(W81),1,2)</f>
        <v>1</v>
      </c>
      <c r="CA81" s="31"/>
      <c r="CB81" s="31"/>
      <c r="CC81" s="31"/>
      <c r="CD81" s="31"/>
    </row>
    <row r="82" spans="1:82" ht="4.95" customHeight="1" x14ac:dyDescent="0.3">
      <c r="C82" s="2"/>
      <c r="D82" s="2"/>
      <c r="E82" s="2"/>
      <c r="F82" s="2"/>
      <c r="G82" s="2"/>
      <c r="H82" s="7"/>
      <c r="J82" s="11"/>
      <c r="K82" s="11"/>
      <c r="L82" s="11"/>
      <c r="N82" s="11"/>
      <c r="O82" s="11"/>
      <c r="P82" s="11"/>
      <c r="R82" s="11"/>
      <c r="S82" s="11"/>
      <c r="T82" s="11"/>
      <c r="U82" s="30"/>
      <c r="AA82" s="33"/>
      <c r="AB82" s="33"/>
      <c r="AC82" s="33"/>
      <c r="AE82" s="33"/>
      <c r="AF82" s="33"/>
      <c r="AG82" s="33"/>
      <c r="AI82" s="33"/>
      <c r="AJ82" s="33"/>
      <c r="AK82" s="33"/>
      <c r="AM82" s="22"/>
      <c r="AV82" s="26"/>
      <c r="BZ82"/>
      <c r="CA82" s="27"/>
      <c r="CB82" s="27"/>
      <c r="CC82" s="27"/>
      <c r="CD82" s="27"/>
    </row>
    <row r="83" spans="1:82" ht="15" customHeight="1" x14ac:dyDescent="0.3">
      <c r="D83" s="2" t="s">
        <v>331</v>
      </c>
      <c r="E83" s="162">
        <f>'Form 2C.1 - Design'!AF127</f>
        <v>0</v>
      </c>
      <c r="F83" s="28" t="s">
        <v>115</v>
      </c>
      <c r="H83" s="162">
        <f>'Form 2C.1 - Design'!AI127</f>
        <v>0</v>
      </c>
      <c r="I83" s="28" t="s">
        <v>116</v>
      </c>
      <c r="U83" s="30"/>
      <c r="X83" s="2" t="s">
        <v>331</v>
      </c>
      <c r="Y83" s="161"/>
      <c r="Z83" s="28" t="s">
        <v>115</v>
      </c>
      <c r="AB83" s="161"/>
      <c r="AC83" s="28" t="s">
        <v>116</v>
      </c>
      <c r="AM83" s="94">
        <f>IF(AND(ISBLANK(Y83),ISBLANK(AB83)),1,2)</f>
        <v>1</v>
      </c>
      <c r="AN83" s="94">
        <f>IF(ISBLANK(AB83),1,2)</f>
        <v>1</v>
      </c>
      <c r="BZ83"/>
      <c r="CA83" s="27"/>
      <c r="CB83" s="27"/>
      <c r="CC83" s="27"/>
      <c r="CD83" s="27"/>
    </row>
    <row r="84" spans="1:82" ht="15" customHeight="1" x14ac:dyDescent="0.3">
      <c r="B84" s="190" t="str">
        <f>'Form 2C.1 - Design'!C128</f>
        <v xml:space="preserve">Select: </v>
      </c>
      <c r="C84" s="190"/>
      <c r="D84" s="190"/>
      <c r="E84" s="231">
        <f>'Form 2C.1 - Design'!F128</f>
        <v>0</v>
      </c>
      <c r="F84" s="231"/>
      <c r="G84" s="231"/>
      <c r="I84" s="247">
        <f>'Form 2C.1 - Design'!K128</f>
        <v>0</v>
      </c>
      <c r="J84" s="247"/>
      <c r="K84" s="247"/>
      <c r="L84" s="28" t="str">
        <f>'Form 2C.1 - Design'!N128</f>
        <v>in</v>
      </c>
      <c r="M84" s="247">
        <f>'Form 2C.1 - Design'!P128</f>
        <v>0</v>
      </c>
      <c r="N84" s="247"/>
      <c r="O84" s="247"/>
      <c r="P84" s="28" t="s">
        <v>39</v>
      </c>
      <c r="Q84" s="247">
        <f>'Form 2C.1 - Design'!U128</f>
        <v>0</v>
      </c>
      <c r="R84" s="247"/>
      <c r="S84" s="247"/>
      <c r="T84" s="28" t="s">
        <v>40</v>
      </c>
      <c r="U84" s="30"/>
      <c r="W84" s="206"/>
      <c r="X84" s="206"/>
      <c r="Y84" s="206"/>
      <c r="AA84" s="181"/>
      <c r="AB84" s="181"/>
      <c r="AC84" s="181"/>
      <c r="AD84" s="28" t="str">
        <f>IF(W84="V-notch","deg","in")</f>
        <v>in</v>
      </c>
      <c r="AE84" s="181"/>
      <c r="AF84" s="181"/>
      <c r="AG84" s="181"/>
      <c r="AH84" s="28" t="s">
        <v>39</v>
      </c>
      <c r="AI84" s="181"/>
      <c r="AJ84" s="181"/>
      <c r="AK84" s="181"/>
      <c r="AL84" s="28" t="s">
        <v>40</v>
      </c>
      <c r="AM84" s="94">
        <f t="shared" ref="AM84:AM88" si="0">IF(ISBLANK(W84),1,2)</f>
        <v>1</v>
      </c>
      <c r="BZ84" s="31"/>
      <c r="CA84" s="27"/>
      <c r="CB84" s="27"/>
      <c r="CC84" s="27"/>
      <c r="CD84" s="27"/>
    </row>
    <row r="85" spans="1:82" ht="15" customHeight="1" x14ac:dyDescent="0.3">
      <c r="B85" s="190" t="str">
        <f>'Form 2C.1 - Design'!C129</f>
        <v xml:space="preserve">Select: </v>
      </c>
      <c r="C85" s="190"/>
      <c r="D85" s="190"/>
      <c r="E85" s="249">
        <f>'Form 2C.1 - Design'!F129</f>
        <v>0</v>
      </c>
      <c r="F85" s="249"/>
      <c r="G85" s="249"/>
      <c r="I85" s="232">
        <f>'Form 2C.1 - Design'!K129</f>
        <v>0</v>
      </c>
      <c r="J85" s="232"/>
      <c r="K85" s="232"/>
      <c r="L85" s="28" t="str">
        <f>'Form 2C.1 - Design'!N129</f>
        <v>in</v>
      </c>
      <c r="M85" s="232">
        <f>'Form 2C.1 - Design'!P129</f>
        <v>0</v>
      </c>
      <c r="N85" s="232"/>
      <c r="O85" s="232"/>
      <c r="P85" s="28" t="s">
        <v>39</v>
      </c>
      <c r="Q85" s="232">
        <f>'Form 2C.1 - Design'!U129</f>
        <v>0</v>
      </c>
      <c r="R85" s="232"/>
      <c r="S85" s="232"/>
      <c r="T85" s="28" t="s">
        <v>40</v>
      </c>
      <c r="U85" s="30"/>
      <c r="W85" s="206"/>
      <c r="X85" s="206"/>
      <c r="Y85" s="206"/>
      <c r="AA85" s="180"/>
      <c r="AB85" s="180"/>
      <c r="AC85" s="180"/>
      <c r="AD85" s="28" t="str">
        <f t="shared" ref="AD85:AD88" si="1">IF(W85="V-notch","deg","in")</f>
        <v>in</v>
      </c>
      <c r="AE85" s="180"/>
      <c r="AF85" s="180"/>
      <c r="AG85" s="180"/>
      <c r="AH85" s="28" t="s">
        <v>39</v>
      </c>
      <c r="AI85" s="180"/>
      <c r="AJ85" s="180"/>
      <c r="AK85" s="180"/>
      <c r="AL85" s="28" t="s">
        <v>40</v>
      </c>
      <c r="AM85" s="94">
        <f t="shared" si="0"/>
        <v>1</v>
      </c>
      <c r="CA85" s="27"/>
      <c r="CB85" s="27"/>
      <c r="CC85" s="27"/>
      <c r="CD85" s="27"/>
    </row>
    <row r="86" spans="1:82" ht="15" customHeight="1" x14ac:dyDescent="0.3">
      <c r="B86" s="190" t="str">
        <f>'Form 2C.1 - Design'!C130</f>
        <v xml:space="preserve">Select: </v>
      </c>
      <c r="C86" s="190"/>
      <c r="D86" s="190"/>
      <c r="E86" s="249">
        <f>'Form 2C.1 - Design'!F130</f>
        <v>0</v>
      </c>
      <c r="F86" s="249"/>
      <c r="G86" s="249"/>
      <c r="I86" s="232">
        <f>'Form 2C.1 - Design'!K130</f>
        <v>0</v>
      </c>
      <c r="J86" s="232"/>
      <c r="K86" s="232"/>
      <c r="L86" s="28" t="str">
        <f>'Form 2C.1 - Design'!N130</f>
        <v>in</v>
      </c>
      <c r="M86" s="232">
        <f>'Form 2C.1 - Design'!P130</f>
        <v>0</v>
      </c>
      <c r="N86" s="232"/>
      <c r="O86" s="232"/>
      <c r="P86" s="28" t="s">
        <v>39</v>
      </c>
      <c r="Q86" s="232">
        <f>'Form 2C.1 - Design'!U130</f>
        <v>0</v>
      </c>
      <c r="R86" s="232"/>
      <c r="S86" s="232"/>
      <c r="T86" s="28" t="s">
        <v>40</v>
      </c>
      <c r="U86" s="30"/>
      <c r="W86" s="206"/>
      <c r="X86" s="206"/>
      <c r="Y86" s="206"/>
      <c r="AA86" s="180"/>
      <c r="AB86" s="180"/>
      <c r="AC86" s="180"/>
      <c r="AD86" s="28" t="str">
        <f t="shared" si="1"/>
        <v>in</v>
      </c>
      <c r="AE86" s="180"/>
      <c r="AF86" s="180"/>
      <c r="AG86" s="180"/>
      <c r="AH86" s="28" t="s">
        <v>39</v>
      </c>
      <c r="AI86" s="180"/>
      <c r="AJ86" s="180"/>
      <c r="AK86" s="180"/>
      <c r="AL86" s="28" t="s">
        <v>40</v>
      </c>
      <c r="AM86" s="94">
        <f t="shared" si="0"/>
        <v>1</v>
      </c>
      <c r="CA86" s="27"/>
      <c r="CB86" s="27"/>
      <c r="CC86" s="27"/>
      <c r="CD86" s="27"/>
    </row>
    <row r="87" spans="1:82" ht="15" customHeight="1" x14ac:dyDescent="0.3">
      <c r="B87" s="190" t="str">
        <f>'Form 2C.1 - Design'!C131</f>
        <v xml:space="preserve">Select: </v>
      </c>
      <c r="C87" s="190"/>
      <c r="D87" s="190"/>
      <c r="E87" s="249">
        <f>'Form 2C.1 - Design'!F131</f>
        <v>0</v>
      </c>
      <c r="F87" s="249"/>
      <c r="G87" s="249"/>
      <c r="I87" s="232">
        <f>'Form 2C.1 - Design'!K131</f>
        <v>0</v>
      </c>
      <c r="J87" s="232"/>
      <c r="K87" s="232"/>
      <c r="L87" s="28" t="str">
        <f>'Form 2C.1 - Design'!N131</f>
        <v>in</v>
      </c>
      <c r="M87" s="232">
        <f>'Form 2C.1 - Design'!P131</f>
        <v>0</v>
      </c>
      <c r="N87" s="232"/>
      <c r="O87" s="232"/>
      <c r="P87" s="28" t="s">
        <v>39</v>
      </c>
      <c r="Q87" s="232">
        <f>'Form 2C.1 - Design'!U131</f>
        <v>0</v>
      </c>
      <c r="R87" s="232"/>
      <c r="S87" s="232"/>
      <c r="T87" s="28" t="s">
        <v>40</v>
      </c>
      <c r="U87" s="30"/>
      <c r="W87" s="206"/>
      <c r="X87" s="206"/>
      <c r="Y87" s="206"/>
      <c r="AA87" s="180"/>
      <c r="AB87" s="180"/>
      <c r="AC87" s="180"/>
      <c r="AD87" s="28" t="str">
        <f t="shared" si="1"/>
        <v>in</v>
      </c>
      <c r="AE87" s="180"/>
      <c r="AF87" s="180"/>
      <c r="AG87" s="180"/>
      <c r="AH87" s="28" t="s">
        <v>39</v>
      </c>
      <c r="AI87" s="180"/>
      <c r="AJ87" s="180"/>
      <c r="AK87" s="180"/>
      <c r="AL87" s="28" t="s">
        <v>40</v>
      </c>
      <c r="AM87" s="94">
        <f t="shared" si="0"/>
        <v>1</v>
      </c>
      <c r="CA87" s="27"/>
      <c r="CB87" s="27"/>
      <c r="CC87" s="27"/>
      <c r="CD87" s="27"/>
    </row>
    <row r="88" spans="1:82" ht="15" customHeight="1" x14ac:dyDescent="0.3">
      <c r="B88" s="190" t="str">
        <f>'Form 2C.1 - Design'!C132</f>
        <v xml:space="preserve">Select: </v>
      </c>
      <c r="C88" s="190"/>
      <c r="D88" s="190"/>
      <c r="E88" s="249">
        <f>'Form 2C.1 - Design'!F132</f>
        <v>0</v>
      </c>
      <c r="F88" s="249"/>
      <c r="G88" s="249"/>
      <c r="I88" s="232">
        <f>'Form 2C.1 - Design'!K132</f>
        <v>0</v>
      </c>
      <c r="J88" s="232"/>
      <c r="K88" s="232"/>
      <c r="L88" s="28" t="str">
        <f>'Form 2C.1 - Design'!N132</f>
        <v>in</v>
      </c>
      <c r="M88" s="232">
        <f>'Form 2C.1 - Design'!P132</f>
        <v>0</v>
      </c>
      <c r="N88" s="232"/>
      <c r="O88" s="232"/>
      <c r="P88" s="28" t="s">
        <v>39</v>
      </c>
      <c r="Q88" s="232">
        <f>'Form 2C.1 - Design'!U132</f>
        <v>0</v>
      </c>
      <c r="R88" s="232"/>
      <c r="S88" s="232"/>
      <c r="T88" s="28" t="s">
        <v>40</v>
      </c>
      <c r="U88" s="30"/>
      <c r="W88" s="206"/>
      <c r="X88" s="206"/>
      <c r="Y88" s="206"/>
      <c r="AA88" s="180"/>
      <c r="AB88" s="180"/>
      <c r="AC88" s="180"/>
      <c r="AD88" s="28" t="str">
        <f t="shared" si="1"/>
        <v>in</v>
      </c>
      <c r="AE88" s="180"/>
      <c r="AF88" s="180"/>
      <c r="AG88" s="180"/>
      <c r="AH88" s="28" t="s">
        <v>40</v>
      </c>
      <c r="AI88" s="180"/>
      <c r="AJ88" s="180"/>
      <c r="AK88" s="180"/>
      <c r="AL88" s="28" t="s">
        <v>40</v>
      </c>
      <c r="AM88" s="94">
        <f t="shared" si="0"/>
        <v>1</v>
      </c>
      <c r="CA88" s="27"/>
      <c r="CB88" s="27"/>
      <c r="CC88" s="27"/>
      <c r="CD88" s="27"/>
    </row>
    <row r="89" spans="1:82" ht="15" customHeight="1" x14ac:dyDescent="0.3">
      <c r="B89" s="190" t="str">
        <f>'Form 2C.1 - Design'!C133</f>
        <v xml:space="preserve">Select: </v>
      </c>
      <c r="C89" s="190"/>
      <c r="D89" s="190"/>
      <c r="E89" s="231">
        <f>'Form 2C.1 - Design'!F133</f>
        <v>0</v>
      </c>
      <c r="F89" s="231"/>
      <c r="G89" s="231"/>
      <c r="I89" s="247">
        <f>'Form 2C.1 - Design'!K133</f>
        <v>0</v>
      </c>
      <c r="J89" s="247"/>
      <c r="K89" s="247"/>
      <c r="L89" s="28">
        <f>'Form 2C.1 - Design'!N134</f>
        <v>0</v>
      </c>
      <c r="M89" s="247">
        <f>'Form 2C.1 - Design'!P133</f>
        <v>0</v>
      </c>
      <c r="N89" s="247"/>
      <c r="O89" s="247"/>
      <c r="P89" s="28" t="s">
        <v>39</v>
      </c>
      <c r="Q89" s="247">
        <f>'Form 2C.1 - Design'!U133</f>
        <v>0</v>
      </c>
      <c r="R89" s="247"/>
      <c r="S89" s="247"/>
      <c r="T89" s="28" t="s">
        <v>40</v>
      </c>
      <c r="U89" s="30"/>
      <c r="W89" s="206"/>
      <c r="X89" s="206"/>
      <c r="Y89" s="206"/>
      <c r="AA89" s="180"/>
      <c r="AB89" s="180"/>
      <c r="AC89" s="180"/>
      <c r="AD89" s="28" t="str">
        <f t="shared" ref="AD89" si="2">IF(W89="V-notch","deg","in")</f>
        <v>in</v>
      </c>
      <c r="AE89" s="180"/>
      <c r="AF89" s="180"/>
      <c r="AG89" s="180"/>
      <c r="AH89" s="28" t="s">
        <v>40</v>
      </c>
      <c r="AI89" s="180"/>
      <c r="AJ89" s="180"/>
      <c r="AK89" s="180"/>
      <c r="AL89" s="28" t="s">
        <v>40</v>
      </c>
      <c r="AM89" s="94">
        <f t="shared" ref="AM89" si="3">IF(ISBLANK(W89),1,2)</f>
        <v>1</v>
      </c>
      <c r="AV89" s="28"/>
      <c r="CA89" s="27"/>
      <c r="CB89" s="27"/>
      <c r="CC89" s="27"/>
      <c r="CD89" s="27"/>
    </row>
    <row r="90" spans="1:82" ht="4.95" customHeight="1" x14ac:dyDescent="0.3">
      <c r="B90" s="2"/>
      <c r="C90" s="2"/>
      <c r="D90" s="2"/>
      <c r="E90" s="2"/>
      <c r="F90" s="2"/>
      <c r="G90" s="2"/>
      <c r="J90" s="33"/>
      <c r="K90" s="33"/>
      <c r="L90" s="33"/>
      <c r="N90" s="33"/>
      <c r="O90" s="33"/>
      <c r="P90" s="33"/>
      <c r="R90" s="33"/>
      <c r="S90" s="33"/>
      <c r="T90" s="33"/>
      <c r="AA90" s="33"/>
      <c r="AB90" s="33"/>
      <c r="AC90" s="33"/>
      <c r="AE90" s="33"/>
      <c r="AF90" s="33"/>
      <c r="AG90" s="33"/>
      <c r="AI90" s="33"/>
      <c r="AJ90" s="33"/>
      <c r="AK90" s="33"/>
      <c r="AV90" s="28"/>
      <c r="CA90" s="27"/>
      <c r="CB90" s="27"/>
      <c r="CC90" s="27"/>
      <c r="CD90" s="27"/>
    </row>
    <row r="91" spans="1:82" ht="15" customHeight="1" x14ac:dyDescent="0.3">
      <c r="A91" s="253" t="s">
        <v>450</v>
      </c>
      <c r="B91" s="253"/>
      <c r="C91" s="253"/>
      <c r="D91" s="253"/>
      <c r="E91" s="253"/>
      <c r="F91" s="253"/>
      <c r="G91" s="253"/>
      <c r="H91" s="253"/>
      <c r="I91" s="253"/>
      <c r="J91" s="253"/>
      <c r="K91" s="253"/>
      <c r="L91" s="253"/>
      <c r="M91" s="253"/>
      <c r="N91" s="253"/>
      <c r="O91" s="253"/>
      <c r="P91" s="253"/>
      <c r="Q91" s="253"/>
      <c r="R91" s="253"/>
      <c r="S91" s="253"/>
      <c r="T91" s="253"/>
      <c r="U91" s="253"/>
      <c r="V91" s="253"/>
      <c r="W91" s="253"/>
      <c r="X91" s="253"/>
      <c r="Y91" s="253"/>
      <c r="Z91" s="253"/>
      <c r="AA91" s="253"/>
      <c r="AB91" s="253"/>
      <c r="AC91" s="253"/>
      <c r="AD91" s="253"/>
      <c r="AE91" s="253"/>
      <c r="AF91" s="253"/>
      <c r="AG91" s="253"/>
      <c r="AH91" s="253"/>
      <c r="AI91" s="253"/>
      <c r="AJ91" s="253"/>
      <c r="AK91" s="253"/>
      <c r="AL91" s="253"/>
      <c r="AN91" s="55"/>
      <c r="AO91" s="22"/>
      <c r="AV91" s="28"/>
      <c r="CA91" s="27"/>
      <c r="CB91" s="27"/>
      <c r="CC91" s="27"/>
      <c r="CD91" s="27"/>
    </row>
    <row r="92" spans="1:82" ht="15" customHeight="1" x14ac:dyDescent="0.3">
      <c r="B92" s="1" t="s">
        <v>54</v>
      </c>
      <c r="C92" s="1"/>
      <c r="D92" s="1"/>
      <c r="E92" s="1"/>
      <c r="G92" s="2" t="s">
        <v>204</v>
      </c>
      <c r="H92" s="231">
        <f>'Form 2C.1 - Design'!F137</f>
        <v>0</v>
      </c>
      <c r="I92" s="231"/>
      <c r="J92" s="231"/>
      <c r="K92" s="231"/>
      <c r="L92" s="231"/>
      <c r="M92" s="231"/>
      <c r="N92" s="231"/>
      <c r="O92" s="231"/>
      <c r="P92" s="231"/>
      <c r="Q92" s="36"/>
      <c r="R92" s="36"/>
      <c r="S92" s="36"/>
      <c r="T92" s="82"/>
      <c r="U92" s="1" t="s">
        <v>55</v>
      </c>
      <c r="W92" s="1"/>
      <c r="X92" s="1"/>
      <c r="Z92" s="2" t="s">
        <v>204</v>
      </c>
      <c r="AA92" s="206"/>
      <c r="AB92" s="206"/>
      <c r="AC92" s="206"/>
      <c r="AD92" s="206"/>
      <c r="AE92" s="206"/>
      <c r="AF92" s="206"/>
      <c r="AG92" s="206"/>
      <c r="AH92" s="206"/>
      <c r="AI92" s="206"/>
      <c r="AJ92" s="36"/>
      <c r="AK92" s="36"/>
      <c r="AL92" s="36"/>
      <c r="AM92" s="94">
        <f>IF(ISBLANK(AA92),1,0)</f>
        <v>1</v>
      </c>
      <c r="AN92" s="55"/>
      <c r="AO92" s="22"/>
      <c r="AV92" s="28"/>
      <c r="CA92" s="27"/>
      <c r="CB92" s="27"/>
      <c r="CC92" s="27"/>
      <c r="CD92" s="27"/>
    </row>
    <row r="93" spans="1:82" ht="15" customHeight="1" x14ac:dyDescent="0.3">
      <c r="B93" s="1"/>
      <c r="C93" s="1"/>
      <c r="D93" s="2" t="s">
        <v>159</v>
      </c>
      <c r="E93" s="236">
        <f>'Form 2C.1 - Design'!F139</f>
        <v>0</v>
      </c>
      <c r="F93" s="236"/>
      <c r="G93" s="236"/>
      <c r="H93" s="28" t="s">
        <v>40</v>
      </c>
      <c r="K93" s="2" t="s">
        <v>155</v>
      </c>
      <c r="L93" s="238">
        <f>'Form 2C.1 - Design'!M139</f>
        <v>0</v>
      </c>
      <c r="M93" s="238"/>
      <c r="N93" s="238"/>
      <c r="O93" s="28" t="s">
        <v>40</v>
      </c>
      <c r="T93" s="133"/>
      <c r="U93" s="2"/>
      <c r="W93" s="2" t="s">
        <v>159</v>
      </c>
      <c r="X93" s="174"/>
      <c r="Y93" s="174"/>
      <c r="Z93" s="174"/>
      <c r="AA93" s="28" t="s">
        <v>40</v>
      </c>
      <c r="AD93" s="2" t="s">
        <v>155</v>
      </c>
      <c r="AE93" s="175"/>
      <c r="AF93" s="175"/>
      <c r="AG93" s="175"/>
      <c r="AH93" s="28" t="s">
        <v>40</v>
      </c>
      <c r="AM93" s="94">
        <f>IF(ISBLANK(X93),1,0)</f>
        <v>1</v>
      </c>
      <c r="AN93" s="94">
        <f>IF(ISBLANK(AE93),1,0)</f>
        <v>1</v>
      </c>
      <c r="AO93" s="22"/>
      <c r="AV93" s="28"/>
      <c r="CA93" s="27"/>
      <c r="CB93" s="27"/>
      <c r="CC93" s="27"/>
      <c r="CD93" s="27"/>
    </row>
    <row r="94" spans="1:82" ht="15" customHeight="1" x14ac:dyDescent="0.3">
      <c r="B94" s="1"/>
      <c r="C94" s="1"/>
      <c r="D94" s="1"/>
      <c r="E94" s="1"/>
      <c r="F94" s="1"/>
      <c r="G94" s="1"/>
      <c r="H94" s="1"/>
      <c r="I94" s="1"/>
      <c r="J94" s="1"/>
      <c r="K94" s="2"/>
      <c r="L94" s="32"/>
      <c r="M94" s="32"/>
      <c r="T94" s="133"/>
      <c r="U94" s="2"/>
      <c r="W94" s="2"/>
      <c r="X94" s="32"/>
      <c r="Y94" s="32"/>
      <c r="AD94" s="2"/>
      <c r="AE94" s="32"/>
      <c r="AF94" s="32"/>
      <c r="AN94" s="55"/>
      <c r="AO94" s="22"/>
      <c r="AV94" s="28"/>
      <c r="CA94" s="27"/>
      <c r="CB94" s="27"/>
      <c r="CC94" s="27"/>
      <c r="CD94" s="27"/>
    </row>
    <row r="95" spans="1:82" ht="15" customHeight="1" x14ac:dyDescent="0.3">
      <c r="B95" s="1"/>
      <c r="C95" s="1"/>
      <c r="D95" s="2" t="s">
        <v>456</v>
      </c>
      <c r="E95" s="229">
        <f>'Form 2C.1 - Design'!T139</f>
        <v>0</v>
      </c>
      <c r="F95" s="229"/>
      <c r="G95" s="28" t="s">
        <v>40</v>
      </c>
      <c r="M95" s="2" t="s">
        <v>457</v>
      </c>
      <c r="N95" s="162">
        <f>'Form 2C.1 - Design'!AF139</f>
        <v>0</v>
      </c>
      <c r="O95" s="28" t="s">
        <v>115</v>
      </c>
      <c r="Q95" s="162">
        <f>'Form 2C.1 - Design'!AI139</f>
        <v>0</v>
      </c>
      <c r="R95" s="36" t="s">
        <v>133</v>
      </c>
      <c r="T95" s="133"/>
      <c r="W95" s="2" t="s">
        <v>456</v>
      </c>
      <c r="X95" s="181"/>
      <c r="Y95" s="181"/>
      <c r="Z95" s="28" t="s">
        <v>40</v>
      </c>
      <c r="AE95" s="2" t="s">
        <v>457</v>
      </c>
      <c r="AF95" s="161"/>
      <c r="AG95" s="28" t="s">
        <v>115</v>
      </c>
      <c r="AI95" s="161"/>
      <c r="AJ95" s="36" t="s">
        <v>133</v>
      </c>
      <c r="AM95" s="94">
        <f>IF(ISBLANK(X95),1,0)</f>
        <v>1</v>
      </c>
      <c r="AN95" s="94">
        <f>IF(AND(ISBLANK(AF95),ISBLANK(AI95)),1,0)</f>
        <v>1</v>
      </c>
      <c r="AO95" s="94">
        <f>IF(ISBLANK(AI95),1,2)</f>
        <v>1</v>
      </c>
      <c r="AV95" s="28"/>
      <c r="CA95" s="27"/>
      <c r="CB95" s="27"/>
      <c r="CC95" s="27"/>
      <c r="CD95" s="27"/>
    </row>
    <row r="96" spans="1:82" ht="4.95" customHeight="1" x14ac:dyDescent="0.3">
      <c r="B96" s="2"/>
      <c r="C96" s="2"/>
      <c r="D96" s="2"/>
      <c r="E96" s="2"/>
      <c r="F96" s="2"/>
      <c r="G96" s="2"/>
      <c r="J96" s="33"/>
      <c r="K96" s="33"/>
      <c r="L96" s="33"/>
      <c r="N96" s="33"/>
      <c r="O96" s="33"/>
      <c r="P96" s="33"/>
      <c r="R96" s="33"/>
      <c r="S96" s="33"/>
      <c r="T96" s="33"/>
      <c r="AA96" s="33"/>
      <c r="AB96" s="33"/>
      <c r="AC96" s="33"/>
      <c r="AE96" s="33"/>
      <c r="AF96" s="33"/>
      <c r="AG96" s="33"/>
      <c r="AI96" s="33"/>
      <c r="AJ96" s="33"/>
      <c r="AK96" s="33"/>
      <c r="AV96" s="28"/>
      <c r="CA96" s="27"/>
      <c r="CB96" s="27"/>
      <c r="CC96" s="27"/>
      <c r="CD96" s="27"/>
    </row>
    <row r="97" spans="1:82" ht="15" customHeight="1" x14ac:dyDescent="0.3">
      <c r="A97" s="239" t="s">
        <v>415</v>
      </c>
      <c r="B97" s="239"/>
      <c r="C97" s="239"/>
      <c r="D97" s="239"/>
      <c r="E97" s="239"/>
      <c r="F97" s="239"/>
      <c r="G97" s="239"/>
      <c r="H97" s="239"/>
      <c r="I97" s="239"/>
      <c r="J97" s="239"/>
      <c r="K97" s="239"/>
      <c r="L97" s="239"/>
      <c r="M97" s="239"/>
      <c r="N97" s="239"/>
      <c r="O97" s="239"/>
      <c r="P97" s="239"/>
      <c r="Q97" s="239"/>
      <c r="R97" s="239"/>
      <c r="S97" s="239"/>
      <c r="T97" s="239"/>
      <c r="U97" s="239"/>
      <c r="V97" s="239"/>
      <c r="W97" s="239"/>
      <c r="X97" s="239"/>
      <c r="Y97" s="239"/>
      <c r="Z97" s="239"/>
      <c r="AA97" s="239"/>
      <c r="AB97" s="239"/>
      <c r="AC97" s="239"/>
      <c r="AD97" s="239"/>
      <c r="AE97" s="239"/>
      <c r="AF97" s="239"/>
      <c r="AG97" s="239"/>
      <c r="AH97" s="239"/>
      <c r="AI97" s="239"/>
      <c r="AJ97" s="239"/>
      <c r="AK97" s="239"/>
      <c r="AL97" s="239"/>
      <c r="AM97" s="56"/>
      <c r="AN97" s="56"/>
      <c r="AO97" s="56"/>
      <c r="AQ97" s="22" t="s">
        <v>151</v>
      </c>
      <c r="AS97" s="22" t="s">
        <v>133</v>
      </c>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row>
    <row r="98" spans="1:82" ht="4.95" customHeight="1" x14ac:dyDescent="0.3">
      <c r="A98" s="20"/>
      <c r="B98" s="20"/>
      <c r="C98" s="20"/>
      <c r="D98" s="20"/>
      <c r="E98" s="20"/>
      <c r="F98" s="20"/>
      <c r="G98" s="20"/>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56"/>
      <c r="AN98" s="56"/>
      <c r="AO98" s="56"/>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row>
    <row r="99" spans="1:82" ht="15" customHeight="1" x14ac:dyDescent="0.3">
      <c r="B99" s="1" t="s">
        <v>54</v>
      </c>
      <c r="C99" s="1"/>
      <c r="D99" s="1"/>
      <c r="E99" s="1"/>
      <c r="F99" s="1"/>
      <c r="G99" s="162">
        <f>'Form 2C.1 - Design'!K141</f>
        <v>0</v>
      </c>
      <c r="H99" s="28" t="s">
        <v>115</v>
      </c>
      <c r="K99" s="162">
        <f>'Form 2C.1 - Design'!O141</f>
        <v>0</v>
      </c>
      <c r="L99" s="28" t="s">
        <v>116</v>
      </c>
      <c r="M99" s="1"/>
      <c r="N99" s="1"/>
      <c r="O99" s="1"/>
      <c r="P99" s="1"/>
      <c r="Q99" s="1"/>
      <c r="R99" s="1"/>
      <c r="S99" s="1"/>
      <c r="T99" s="1"/>
      <c r="U99" s="30"/>
      <c r="V99" s="1" t="s">
        <v>55</v>
      </c>
      <c r="W99" s="1"/>
      <c r="X99" s="1"/>
      <c r="Y99" s="1"/>
      <c r="Z99" s="1"/>
      <c r="AA99" s="161"/>
      <c r="AB99" s="28" t="s">
        <v>115</v>
      </c>
      <c r="AE99" s="161"/>
      <c r="AF99" s="28" t="s">
        <v>116</v>
      </c>
      <c r="AG99" s="1"/>
      <c r="AH99" s="1"/>
      <c r="AI99" s="61"/>
      <c r="AJ99" s="61"/>
      <c r="AM99" s="70" t="s">
        <v>79</v>
      </c>
      <c r="AN99" s="94">
        <f>SUM(AN101:AN103,AQ101:AQ103)</f>
        <v>0</v>
      </c>
      <c r="AO99" s="94"/>
      <c r="AP99" s="94">
        <f>IF(AND(ISBLANK(AA99),ISBLANK(AE99)),1,2)</f>
        <v>1</v>
      </c>
      <c r="AQ99" s="94">
        <f>IF(ISBLANK(AA99),1,2)</f>
        <v>1</v>
      </c>
      <c r="AR99" s="94"/>
      <c r="AS99" s="94">
        <f>IF(ISBLANK(AE99),1,2)</f>
        <v>1</v>
      </c>
      <c r="AV99" s="26"/>
      <c r="BZ99" s="27"/>
      <c r="CA99" s="27"/>
      <c r="CB99" s="27"/>
      <c r="CC99" s="27"/>
      <c r="CD99" s="27"/>
    </row>
    <row r="100" spans="1:82" ht="4.95" customHeight="1" x14ac:dyDescent="0.3">
      <c r="B100" s="1"/>
      <c r="C100" s="1"/>
      <c r="D100" s="1"/>
      <c r="E100" s="1"/>
      <c r="F100" s="1"/>
      <c r="G100" s="1"/>
      <c r="I100" s="1"/>
      <c r="J100" s="1"/>
      <c r="K100" s="1"/>
      <c r="L100" s="1"/>
      <c r="M100" s="1"/>
      <c r="N100" s="1"/>
      <c r="O100" s="1"/>
      <c r="P100" s="1"/>
      <c r="Q100" s="1"/>
      <c r="R100" s="1"/>
      <c r="S100" s="1"/>
      <c r="T100" s="1"/>
      <c r="U100" s="30"/>
      <c r="V100" s="1"/>
      <c r="W100" s="1"/>
      <c r="X100" s="1"/>
      <c r="Y100" s="1"/>
      <c r="Z100" s="1"/>
      <c r="AA100" s="1"/>
      <c r="AB100" s="1"/>
      <c r="AC100" s="1"/>
      <c r="AD100" s="1"/>
      <c r="AE100" s="1"/>
      <c r="AF100" s="1"/>
      <c r="AG100" s="1"/>
      <c r="AH100" s="1"/>
      <c r="AI100" s="1"/>
      <c r="AJ100" s="61"/>
      <c r="AM100" s="70"/>
      <c r="AN100" s="22"/>
      <c r="AO100" s="22"/>
      <c r="AV100" s="26"/>
      <c r="BZ100" s="27"/>
      <c r="CA100" s="27"/>
      <c r="CB100" s="27"/>
      <c r="CC100" s="27"/>
      <c r="CD100" s="27"/>
    </row>
    <row r="101" spans="1:82" ht="15" customHeight="1" x14ac:dyDescent="0.3">
      <c r="C101" s="2"/>
      <c r="D101" s="2" t="s">
        <v>27</v>
      </c>
      <c r="E101" s="188">
        <f>'Form 2C.1 - Design'!F143</f>
        <v>0</v>
      </c>
      <c r="F101" s="188"/>
      <c r="G101" s="188"/>
      <c r="H101" s="188"/>
      <c r="N101" s="2" t="s">
        <v>30</v>
      </c>
      <c r="O101" s="188">
        <f>'Form 2C.1 - Design'!O143</f>
        <v>0</v>
      </c>
      <c r="P101" s="188"/>
      <c r="Q101" s="188"/>
      <c r="R101" s="188"/>
      <c r="U101" s="30"/>
      <c r="X101" s="2" t="s">
        <v>27</v>
      </c>
      <c r="Y101" s="206"/>
      <c r="Z101" s="206"/>
      <c r="AA101" s="206"/>
      <c r="AB101" s="206"/>
      <c r="AG101" s="2" t="s">
        <v>30</v>
      </c>
      <c r="AH101" s="206"/>
      <c r="AI101" s="206"/>
      <c r="AJ101" s="206"/>
      <c r="AK101" s="206"/>
      <c r="AM101" s="70" t="s">
        <v>21</v>
      </c>
      <c r="AN101" s="94">
        <f>IF(ISBLANK(Y101),0,1)</f>
        <v>0</v>
      </c>
      <c r="AO101" s="22"/>
      <c r="AP101" s="70" t="s">
        <v>31</v>
      </c>
      <c r="AQ101" s="94">
        <f>IF(ISBLANK(AH101),0,1)</f>
        <v>0</v>
      </c>
      <c r="AV101" s="26"/>
      <c r="BZ101" s="27"/>
      <c r="CA101" s="27"/>
      <c r="CB101" s="27"/>
      <c r="CC101" s="27"/>
      <c r="CD101" s="27"/>
    </row>
    <row r="102" spans="1:82" ht="15" customHeight="1" x14ac:dyDescent="0.3">
      <c r="C102" s="2"/>
      <c r="D102" s="2" t="s">
        <v>37</v>
      </c>
      <c r="E102" s="232">
        <f>'Form 2C.1 - Design'!F144</f>
        <v>0</v>
      </c>
      <c r="F102" s="232"/>
      <c r="G102" s="232"/>
      <c r="H102" s="28" t="s">
        <v>40</v>
      </c>
      <c r="N102" s="2" t="s">
        <v>41</v>
      </c>
      <c r="O102" s="232">
        <f>'Form 2C.1 - Design'!O144</f>
        <v>0</v>
      </c>
      <c r="P102" s="232"/>
      <c r="Q102" s="232"/>
      <c r="R102" s="28" t="s">
        <v>40</v>
      </c>
      <c r="U102" s="30"/>
      <c r="X102" s="2" t="s">
        <v>37</v>
      </c>
      <c r="Y102" s="180"/>
      <c r="Z102" s="180"/>
      <c r="AA102" s="180"/>
      <c r="AB102" s="28" t="s">
        <v>40</v>
      </c>
      <c r="AG102" s="2" t="s">
        <v>41</v>
      </c>
      <c r="AH102" s="180"/>
      <c r="AI102" s="180"/>
      <c r="AJ102" s="180"/>
      <c r="AK102" s="28" t="s">
        <v>40</v>
      </c>
      <c r="AM102" s="70" t="s">
        <v>50</v>
      </c>
      <c r="AN102" s="94">
        <f>IF(ISBLANK(Y102),0,1)</f>
        <v>0</v>
      </c>
      <c r="AO102" s="22"/>
      <c r="AP102" s="70" t="s">
        <v>76</v>
      </c>
      <c r="AQ102" s="94">
        <f>IF(ISBLANK(AH102),0,1)</f>
        <v>0</v>
      </c>
      <c r="AV102" s="26"/>
      <c r="BZ102" s="27"/>
      <c r="CA102" s="27"/>
      <c r="CB102" s="27"/>
      <c r="CC102" s="27"/>
      <c r="CD102" s="27"/>
    </row>
    <row r="103" spans="1:82" ht="15" customHeight="1" x14ac:dyDescent="0.3">
      <c r="C103" s="2"/>
      <c r="D103" s="2" t="s">
        <v>43</v>
      </c>
      <c r="E103" s="232">
        <f>'Form 2C.1 - Design'!W144</f>
        <v>0</v>
      </c>
      <c r="F103" s="232"/>
      <c r="G103" s="232"/>
      <c r="H103" s="28" t="s">
        <v>40</v>
      </c>
      <c r="N103" s="2" t="s">
        <v>110</v>
      </c>
      <c r="O103" s="232">
        <f>'Form 2C.1 - Design'!AF144</f>
        <v>0</v>
      </c>
      <c r="P103" s="232"/>
      <c r="Q103" s="232"/>
      <c r="R103" s="28" t="s">
        <v>40</v>
      </c>
      <c r="U103" s="65"/>
      <c r="X103" s="2" t="s">
        <v>43</v>
      </c>
      <c r="Y103" s="180"/>
      <c r="Z103" s="180"/>
      <c r="AA103" s="180"/>
      <c r="AB103" s="28" t="s">
        <v>40</v>
      </c>
      <c r="AG103" s="2" t="s">
        <v>110</v>
      </c>
      <c r="AH103" s="180"/>
      <c r="AI103" s="180"/>
      <c r="AJ103" s="180"/>
      <c r="AK103" s="28" t="s">
        <v>40</v>
      </c>
      <c r="AM103" s="70" t="s">
        <v>77</v>
      </c>
      <c r="AN103" s="94">
        <f>IF(ISBLANK(Y103),0,1)</f>
        <v>0</v>
      </c>
      <c r="AO103" s="22"/>
      <c r="AP103" s="70" t="s">
        <v>78</v>
      </c>
      <c r="AQ103" s="94">
        <f>IF(ISBLANK(AH103),0,1)</f>
        <v>0</v>
      </c>
      <c r="AV103" s="26"/>
      <c r="BZ103" s="27"/>
    </row>
    <row r="104" spans="1:82" s="5" customFormat="1" ht="15" customHeight="1" x14ac:dyDescent="0.3">
      <c r="AM104" s="70"/>
      <c r="AN104" s="22"/>
      <c r="AO104" s="22"/>
      <c r="AP104" s="22"/>
      <c r="AQ104" s="22"/>
      <c r="AR104" s="22"/>
      <c r="AS104" s="22"/>
      <c r="AT104" s="22"/>
      <c r="BZ104" s="27"/>
    </row>
    <row r="105" spans="1:82" ht="15" customHeight="1" x14ac:dyDescent="0.3">
      <c r="AM105" s="70"/>
      <c r="AN105" s="22"/>
      <c r="AO105" s="22"/>
      <c r="BZ105" s="27"/>
    </row>
    <row r="106" spans="1:82" ht="15" customHeight="1" x14ac:dyDescent="0.3">
      <c r="B106" s="203">
        <f>Tables!$F$13</f>
        <v>46266</v>
      </c>
      <c r="C106" s="203"/>
      <c r="D106" s="203"/>
      <c r="E106" s="203"/>
      <c r="F106" s="203"/>
      <c r="G106" s="203"/>
      <c r="H106" s="203"/>
      <c r="R106" s="178" t="s">
        <v>299</v>
      </c>
      <c r="S106" s="178"/>
      <c r="T106" s="178"/>
      <c r="U106" s="178"/>
      <c r="AK106" s="33"/>
      <c r="AM106" s="70"/>
      <c r="AN106" s="22"/>
      <c r="AO106" s="22"/>
      <c r="BZ106" s="27"/>
    </row>
    <row r="107" spans="1:82" ht="15" customHeight="1" x14ac:dyDescent="0.3">
      <c r="C107" s="2" t="s">
        <v>1</v>
      </c>
      <c r="D107" s="188">
        <f>IF(ISBLANK($E$7),"",$E$7)</f>
        <v>0</v>
      </c>
      <c r="E107" s="188"/>
      <c r="F107" s="188"/>
      <c r="G107" s="188"/>
      <c r="H107" s="188"/>
      <c r="I107" s="188"/>
      <c r="J107" s="188"/>
      <c r="K107" s="188"/>
      <c r="L107" s="188"/>
      <c r="M107" s="188"/>
      <c r="N107" s="188"/>
      <c r="O107" s="188"/>
      <c r="P107" s="188"/>
      <c r="Q107" s="188"/>
      <c r="R107" s="188"/>
      <c r="S107" s="188"/>
      <c r="T107" s="188"/>
      <c r="U107" s="188"/>
      <c r="V107" s="188"/>
      <c r="W107" s="188"/>
      <c r="X107" s="188"/>
      <c r="Y107" s="188"/>
      <c r="Z107" s="188"/>
      <c r="AA107" s="39"/>
      <c r="AB107" s="39"/>
      <c r="AC107" s="39"/>
      <c r="AF107" s="2" t="s">
        <v>19</v>
      </c>
      <c r="AG107" s="186">
        <f>$AF$7</f>
        <v>0</v>
      </c>
      <c r="AH107" s="186"/>
      <c r="AI107" s="186"/>
      <c r="AJ107" s="186"/>
      <c r="AK107" s="186"/>
      <c r="AM107" s="70"/>
      <c r="AN107" s="22"/>
      <c r="AO107" s="22"/>
      <c r="BZ107" s="27"/>
    </row>
    <row r="108" spans="1:82" ht="15" customHeight="1" x14ac:dyDescent="0.3">
      <c r="H108" s="40"/>
      <c r="I108" s="40"/>
      <c r="J108" s="2"/>
      <c r="K108" s="2"/>
      <c r="L108" s="2"/>
      <c r="M108" s="40"/>
      <c r="N108" s="39"/>
      <c r="O108" s="39"/>
      <c r="P108" s="39"/>
      <c r="Q108" s="39"/>
      <c r="R108" s="39"/>
      <c r="S108" s="39"/>
      <c r="T108" s="39"/>
      <c r="U108" s="39"/>
      <c r="V108" s="39"/>
      <c r="W108" s="39"/>
      <c r="X108" s="39"/>
      <c r="Y108" s="39"/>
      <c r="Z108" s="39"/>
      <c r="AA108" s="39"/>
      <c r="AB108" s="39"/>
      <c r="AC108" s="39"/>
      <c r="AF108" s="2" t="s">
        <v>32</v>
      </c>
      <c r="AG108" s="187">
        <f>IF(ISBLANK($AF$8),"",$AF$8)</f>
        <v>0</v>
      </c>
      <c r="AH108" s="187"/>
      <c r="AI108" s="187"/>
      <c r="AJ108" s="187"/>
      <c r="AK108" s="187"/>
      <c r="AM108" s="70"/>
      <c r="AN108" s="22"/>
      <c r="AO108" s="22"/>
      <c r="BZ108" s="27"/>
    </row>
    <row r="109" spans="1:82" ht="4.95" customHeight="1" x14ac:dyDescent="0.3">
      <c r="B109" s="1"/>
      <c r="C109" s="1"/>
      <c r="D109" s="1"/>
      <c r="E109" s="1"/>
      <c r="F109" s="1"/>
      <c r="G109" s="1"/>
      <c r="J109" s="2"/>
      <c r="K109" s="2"/>
      <c r="L109" s="2"/>
      <c r="M109" s="36"/>
      <c r="N109" s="36"/>
      <c r="O109" s="36"/>
      <c r="P109" s="36"/>
      <c r="Q109" s="36"/>
      <c r="U109" s="2"/>
      <c r="Z109" s="2"/>
      <c r="AA109" s="2"/>
      <c r="AB109" s="2"/>
      <c r="AC109" s="36"/>
      <c r="AD109" s="36"/>
      <c r="AE109" s="36"/>
      <c r="AF109" s="36"/>
      <c r="AM109" s="70"/>
      <c r="AN109" s="22"/>
      <c r="AO109" s="22"/>
      <c r="BZ109" s="27"/>
    </row>
    <row r="110" spans="1:82" ht="15" customHeight="1" x14ac:dyDescent="0.3">
      <c r="A110" s="253" t="s">
        <v>14</v>
      </c>
      <c r="B110" s="253"/>
      <c r="C110" s="253"/>
      <c r="D110" s="253"/>
      <c r="E110" s="253"/>
      <c r="F110" s="253"/>
      <c r="G110" s="253"/>
      <c r="H110" s="253"/>
      <c r="I110" s="253"/>
      <c r="J110" s="253"/>
      <c r="K110" s="253"/>
      <c r="L110" s="253"/>
      <c r="M110" s="253"/>
      <c r="N110" s="253"/>
      <c r="O110" s="253"/>
      <c r="P110" s="253"/>
      <c r="Q110" s="253"/>
      <c r="R110" s="253"/>
      <c r="S110" s="253"/>
      <c r="T110" s="253"/>
      <c r="U110" s="253"/>
      <c r="V110" s="253"/>
      <c r="W110" s="253"/>
      <c r="X110" s="253"/>
      <c r="Y110" s="253"/>
      <c r="Z110" s="253"/>
      <c r="AA110" s="253"/>
      <c r="AB110" s="253"/>
      <c r="AC110" s="253"/>
      <c r="AD110" s="253"/>
      <c r="AE110" s="253"/>
      <c r="AF110" s="253"/>
      <c r="AG110" s="253"/>
      <c r="AH110" s="253"/>
      <c r="AI110" s="253"/>
      <c r="AJ110" s="253"/>
      <c r="AK110" s="253"/>
      <c r="AL110" s="253"/>
      <c r="AM110" s="22"/>
      <c r="AN110" s="22"/>
      <c r="AO110" s="22"/>
      <c r="BZ110" s="27"/>
    </row>
    <row r="111" spans="1:82" ht="15" customHeight="1" x14ac:dyDescent="0.3">
      <c r="B111" s="1" t="s">
        <v>54</v>
      </c>
      <c r="C111" s="1"/>
      <c r="D111" s="1"/>
      <c r="E111" s="1"/>
      <c r="F111" s="1"/>
      <c r="H111" s="34" t="s">
        <v>44</v>
      </c>
      <c r="I111" s="245">
        <f>'Form 2C.1 - Design'!O146</f>
        <v>0</v>
      </c>
      <c r="J111" s="245"/>
      <c r="K111" s="245"/>
      <c r="L111" s="245"/>
      <c r="O111" s="63"/>
      <c r="P111" s="63"/>
      <c r="Q111" s="1"/>
      <c r="R111" s="1"/>
      <c r="S111" s="1"/>
      <c r="U111" s="30"/>
      <c r="V111" s="1" t="s">
        <v>55</v>
      </c>
      <c r="W111" s="1"/>
      <c r="X111" s="1"/>
      <c r="Y111" s="35"/>
      <c r="AA111" s="34"/>
      <c r="AC111" s="34" t="s">
        <v>44</v>
      </c>
      <c r="AD111" s="220"/>
      <c r="AE111" s="220"/>
      <c r="AF111" s="220"/>
      <c r="AG111" s="220"/>
      <c r="AH111" s="35"/>
      <c r="AI111" s="35"/>
      <c r="AJ111" s="35"/>
      <c r="AK111" s="35"/>
      <c r="AM111" s="70" t="s">
        <v>134</v>
      </c>
      <c r="AN111" s="94">
        <f>IF(ISBLANK(AD111),0,1)</f>
        <v>0</v>
      </c>
      <c r="AO111" s="22"/>
      <c r="AR111" s="70" t="s">
        <v>411</v>
      </c>
      <c r="AS111" s="94">
        <f>IF(ISBLANK(AD111),1,IF(ISTEXT(AD111)=TRUE,3,2))</f>
        <v>1</v>
      </c>
      <c r="BZ111" s="27"/>
    </row>
    <row r="112" spans="1:82" ht="15" customHeight="1" x14ac:dyDescent="0.3">
      <c r="B112" s="1"/>
      <c r="C112" s="1"/>
      <c r="D112" s="1"/>
      <c r="E112" s="1"/>
      <c r="F112" s="1"/>
      <c r="H112" s="2" t="s">
        <v>45</v>
      </c>
      <c r="I112" s="246">
        <f>'Form 2C.1 - Design'!W146</f>
        <v>0</v>
      </c>
      <c r="J112" s="246"/>
      <c r="K112" s="246"/>
      <c r="L112" s="246"/>
      <c r="O112" s="63"/>
      <c r="P112" s="63"/>
      <c r="Q112" s="36"/>
      <c r="U112" s="65"/>
      <c r="AA112" s="2"/>
      <c r="AC112" s="2" t="s">
        <v>45</v>
      </c>
      <c r="AD112" s="258"/>
      <c r="AE112" s="258"/>
      <c r="AF112" s="258"/>
      <c r="AG112" s="258"/>
      <c r="AM112" s="70" t="s">
        <v>135</v>
      </c>
      <c r="AN112" s="94">
        <f>IF(ISBLANK(AD112),0,1)</f>
        <v>0</v>
      </c>
      <c r="AO112" s="55" t="s">
        <v>136</v>
      </c>
      <c r="AP112" s="94">
        <f>SUM(AN111:AN112)</f>
        <v>0</v>
      </c>
      <c r="AR112" s="70" t="s">
        <v>412</v>
      </c>
      <c r="AS112" s="94">
        <f>IF(ISBLANK(AD112),1,IF(ISTEXT(AD112)=TRUE,3,2))</f>
        <v>1</v>
      </c>
      <c r="BZ112" s="27"/>
    </row>
    <row r="113" spans="1:78" ht="4.95" customHeight="1" x14ac:dyDescent="0.3">
      <c r="B113" s="1"/>
      <c r="C113" s="1"/>
      <c r="D113" s="1"/>
      <c r="E113" s="1"/>
      <c r="F113" s="1"/>
      <c r="G113" s="1"/>
      <c r="J113" s="2"/>
      <c r="K113" s="2"/>
      <c r="L113" s="2"/>
      <c r="M113" s="36"/>
      <c r="N113" s="36"/>
      <c r="O113" s="36"/>
      <c r="P113" s="36"/>
      <c r="Q113" s="36"/>
      <c r="U113" s="2"/>
      <c r="Z113" s="2"/>
      <c r="AA113" s="2"/>
      <c r="AB113" s="2"/>
      <c r="AC113" s="36"/>
      <c r="AD113" s="36"/>
      <c r="AE113" s="36"/>
      <c r="AF113" s="36"/>
      <c r="AM113" s="70"/>
      <c r="AN113" s="22"/>
      <c r="AO113" s="22"/>
      <c r="BZ113" s="27"/>
    </row>
    <row r="114" spans="1:78" ht="15" customHeight="1" x14ac:dyDescent="0.3">
      <c r="A114" s="239" t="s">
        <v>56</v>
      </c>
      <c r="B114" s="239"/>
      <c r="C114" s="239"/>
      <c r="D114" s="239"/>
      <c r="E114" s="239"/>
      <c r="F114" s="239"/>
      <c r="G114" s="239"/>
      <c r="H114" s="239"/>
      <c r="I114" s="239"/>
      <c r="J114" s="239"/>
      <c r="K114" s="239"/>
      <c r="L114" s="239"/>
      <c r="M114" s="239"/>
      <c r="N114" s="239"/>
      <c r="O114" s="239"/>
      <c r="P114" s="239"/>
      <c r="Q114" s="239"/>
      <c r="R114" s="239"/>
      <c r="S114" s="239"/>
      <c r="T114" s="239"/>
      <c r="U114" s="239"/>
      <c r="V114" s="239"/>
      <c r="W114" s="239"/>
      <c r="X114" s="239"/>
      <c r="Y114" s="239"/>
      <c r="Z114" s="239"/>
      <c r="AA114" s="239"/>
      <c r="AB114" s="239"/>
      <c r="AC114" s="239"/>
      <c r="AD114" s="239"/>
      <c r="AE114" s="239"/>
      <c r="AF114" s="239"/>
      <c r="AG114" s="239"/>
      <c r="AH114" s="239"/>
      <c r="AI114" s="239"/>
      <c r="AJ114" s="239"/>
      <c r="AK114" s="239"/>
      <c r="AL114" s="239"/>
      <c r="AM114" s="70"/>
    </row>
    <row r="115" spans="1:78" ht="15" customHeight="1" x14ac:dyDescent="0.3">
      <c r="B115" s="1" t="s">
        <v>54</v>
      </c>
      <c r="C115" s="1"/>
      <c r="D115" s="1"/>
      <c r="E115" s="1"/>
      <c r="F115" s="1"/>
      <c r="I115" s="32" t="s">
        <v>57</v>
      </c>
      <c r="J115" s="257">
        <f>'Form 2C.1 - Design'!W23</f>
        <v>0</v>
      </c>
      <c r="K115" s="257"/>
      <c r="L115" s="257"/>
      <c r="M115" s="28" t="s">
        <v>34</v>
      </c>
      <c r="U115" s="30"/>
      <c r="V115" s="1" t="s">
        <v>55</v>
      </c>
      <c r="W115" s="1"/>
      <c r="X115" s="1"/>
      <c r="AC115" s="32" t="s">
        <v>58</v>
      </c>
      <c r="AD115" s="179"/>
      <c r="AE115" s="179"/>
      <c r="AF115" s="179"/>
      <c r="AG115" s="28" t="s">
        <v>34</v>
      </c>
      <c r="AM115" s="70" t="s">
        <v>139</v>
      </c>
      <c r="AN115" s="94">
        <f>IF(OR(AD115&gt;J115,AD115=J115),1,2)</f>
        <v>1</v>
      </c>
      <c r="AO115" s="94">
        <f>IF(OR(J115=0,ISBLANK(AD115)),2,1)</f>
        <v>2</v>
      </c>
    </row>
    <row r="116" spans="1:78" ht="4.95" customHeight="1" x14ac:dyDescent="0.3">
      <c r="H116" s="40"/>
      <c r="I116" s="40"/>
      <c r="J116" s="2"/>
      <c r="K116" s="2"/>
      <c r="L116" s="2"/>
      <c r="M116" s="40"/>
      <c r="N116" s="39"/>
      <c r="O116" s="39"/>
      <c r="P116" s="39"/>
      <c r="Q116" s="39"/>
      <c r="R116" s="39"/>
      <c r="S116" s="39"/>
      <c r="T116" s="39"/>
      <c r="U116" s="39"/>
      <c r="V116" s="39"/>
      <c r="W116" s="39"/>
      <c r="X116" s="39"/>
      <c r="Y116" s="39"/>
      <c r="Z116" s="39"/>
      <c r="AA116" s="39"/>
      <c r="AB116" s="39"/>
      <c r="AC116" s="39"/>
      <c r="AD116" s="39"/>
      <c r="AE116" s="39"/>
      <c r="AF116" s="39"/>
      <c r="AG116" s="39"/>
      <c r="AH116" s="39"/>
      <c r="AI116" s="39"/>
      <c r="AJ116" s="39"/>
      <c r="AK116" s="39"/>
      <c r="AL116" s="39"/>
      <c r="AV116" s="38"/>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row>
    <row r="117" spans="1:78" ht="15" customHeight="1" x14ac:dyDescent="0.3">
      <c r="A117" s="239" t="s">
        <v>388</v>
      </c>
      <c r="B117" s="239"/>
      <c r="C117" s="239"/>
      <c r="D117" s="239"/>
      <c r="E117" s="239"/>
      <c r="F117" s="239"/>
      <c r="G117" s="239"/>
      <c r="H117" s="239"/>
      <c r="I117" s="239"/>
      <c r="J117" s="239"/>
      <c r="K117" s="239"/>
      <c r="L117" s="239"/>
      <c r="M117" s="239"/>
      <c r="N117" s="239"/>
      <c r="O117" s="239"/>
      <c r="P117" s="239"/>
      <c r="Q117" s="239"/>
      <c r="R117" s="239"/>
      <c r="S117" s="239"/>
      <c r="T117" s="239"/>
      <c r="U117" s="239"/>
      <c r="V117" s="239"/>
      <c r="W117" s="239"/>
      <c r="X117" s="239"/>
      <c r="Y117" s="239"/>
      <c r="Z117" s="239"/>
      <c r="AA117" s="239"/>
      <c r="AB117" s="239"/>
      <c r="AC117" s="239"/>
      <c r="AD117" s="239"/>
      <c r="AE117" s="239"/>
      <c r="AF117" s="239"/>
      <c r="AG117" s="239"/>
      <c r="AH117" s="239"/>
      <c r="AI117" s="239"/>
      <c r="AJ117" s="239"/>
      <c r="AK117" s="239"/>
      <c r="AL117" s="239"/>
      <c r="AM117" s="57"/>
      <c r="AN117" s="57"/>
      <c r="AO117" s="57"/>
    </row>
    <row r="118" spans="1:78" ht="15" customHeight="1" x14ac:dyDescent="0.3">
      <c r="B118" s="1" t="s">
        <v>54</v>
      </c>
      <c r="C118" s="1"/>
      <c r="D118" s="1"/>
      <c r="E118" s="1"/>
      <c r="F118" s="1"/>
      <c r="H118" s="1"/>
      <c r="U118" s="30"/>
      <c r="V118" s="1" t="s">
        <v>55</v>
      </c>
      <c r="X118" s="1"/>
      <c r="Y118" s="1"/>
    </row>
    <row r="119" spans="1:78" ht="15" customHeight="1" x14ac:dyDescent="0.3">
      <c r="C119" s="4" t="s">
        <v>15</v>
      </c>
      <c r="G119" s="178" t="s">
        <v>16</v>
      </c>
      <c r="H119" s="178"/>
      <c r="I119" s="178"/>
      <c r="J119" s="178"/>
      <c r="K119" s="4"/>
      <c r="M119" s="28" t="s">
        <v>47</v>
      </c>
      <c r="U119" s="65"/>
      <c r="W119" s="4" t="s">
        <v>15</v>
      </c>
      <c r="X119" s="4"/>
      <c r="Y119" s="4"/>
      <c r="AA119" s="178" t="s">
        <v>16</v>
      </c>
      <c r="AB119" s="178"/>
      <c r="AC119" s="178"/>
      <c r="AD119" s="178"/>
      <c r="AG119" s="28" t="s">
        <v>47</v>
      </c>
    </row>
    <row r="120" spans="1:78" ht="13.95" customHeight="1" x14ac:dyDescent="0.3">
      <c r="B120" s="229">
        <f>'Form 2C.1 - Design'!C150</f>
        <v>0</v>
      </c>
      <c r="C120" s="229"/>
      <c r="D120" s="229"/>
      <c r="E120" s="28" t="s">
        <v>40</v>
      </c>
      <c r="G120" s="234">
        <f>'Form 2C.1 - Design'!H150</f>
        <v>0</v>
      </c>
      <c r="H120" s="234"/>
      <c r="I120" s="234"/>
      <c r="J120" s="234"/>
      <c r="K120" s="28" t="s">
        <v>36</v>
      </c>
      <c r="M120" s="234">
        <f>'Form 2C.1 - Design'!M150</f>
        <v>0</v>
      </c>
      <c r="N120" s="234"/>
      <c r="O120" s="234"/>
      <c r="P120" s="234"/>
      <c r="Q120" s="28" t="s">
        <v>34</v>
      </c>
      <c r="U120" s="65"/>
      <c r="V120" s="181"/>
      <c r="W120" s="181"/>
      <c r="X120" s="181"/>
      <c r="Y120" s="28" t="s">
        <v>40</v>
      </c>
      <c r="AA120" s="179"/>
      <c r="AB120" s="179"/>
      <c r="AC120" s="179"/>
      <c r="AD120" s="179"/>
      <c r="AE120" s="28" t="s">
        <v>36</v>
      </c>
      <c r="AG120" s="179"/>
      <c r="AH120" s="179"/>
      <c r="AI120" s="179"/>
      <c r="AJ120" s="179"/>
      <c r="AK120" s="28" t="s">
        <v>34</v>
      </c>
      <c r="AM120" s="93">
        <f>IF(ISBLANK(AA120),0,1)</f>
        <v>0</v>
      </c>
      <c r="AN120" s="93">
        <f>IF(ISBLANK(AG120),0,1)</f>
        <v>0</v>
      </c>
      <c r="AO120" s="93"/>
      <c r="AP120" s="94">
        <f t="shared" ref="AP120:AP133" si="4">IF(ISBLANK(V120),1,2)</f>
        <v>1</v>
      </c>
    </row>
    <row r="121" spans="1:78" ht="13.95" customHeight="1" x14ac:dyDescent="0.3">
      <c r="B121" s="233">
        <f>'Form 2C.1 - Design'!C151</f>
        <v>0</v>
      </c>
      <c r="C121" s="233"/>
      <c r="D121" s="233"/>
      <c r="E121" s="28" t="s">
        <v>40</v>
      </c>
      <c r="G121" s="222">
        <f>'Form 2C.1 - Design'!H151</f>
        <v>0</v>
      </c>
      <c r="H121" s="222"/>
      <c r="I121" s="222"/>
      <c r="J121" s="222"/>
      <c r="K121" s="28" t="s">
        <v>36</v>
      </c>
      <c r="M121" s="234">
        <f>'Form 2C.1 - Design'!M151</f>
        <v>0</v>
      </c>
      <c r="N121" s="234"/>
      <c r="O121" s="234"/>
      <c r="P121" s="234"/>
      <c r="Q121" s="28" t="s">
        <v>34</v>
      </c>
      <c r="U121" s="65"/>
      <c r="V121" s="180"/>
      <c r="W121" s="180"/>
      <c r="X121" s="180"/>
      <c r="Y121" s="28" t="s">
        <v>40</v>
      </c>
      <c r="AA121" s="176"/>
      <c r="AB121" s="176"/>
      <c r="AC121" s="176"/>
      <c r="AD121" s="176"/>
      <c r="AE121" s="28" t="s">
        <v>36</v>
      </c>
      <c r="AG121" s="176"/>
      <c r="AH121" s="176"/>
      <c r="AI121" s="176"/>
      <c r="AJ121" s="176"/>
      <c r="AK121" s="28" t="s">
        <v>34</v>
      </c>
      <c r="AP121" s="94">
        <f t="shared" si="4"/>
        <v>1</v>
      </c>
    </row>
    <row r="122" spans="1:78" ht="13.95" customHeight="1" x14ac:dyDescent="0.3">
      <c r="B122" s="233">
        <f>'Form 2C.1 - Design'!C152</f>
        <v>0</v>
      </c>
      <c r="C122" s="233"/>
      <c r="D122" s="233"/>
      <c r="E122" s="28" t="s">
        <v>40</v>
      </c>
      <c r="G122" s="222">
        <f>'Form 2C.1 - Design'!H152</f>
        <v>0</v>
      </c>
      <c r="H122" s="222"/>
      <c r="I122" s="222"/>
      <c r="J122" s="222"/>
      <c r="K122" s="28" t="s">
        <v>36</v>
      </c>
      <c r="M122" s="234">
        <f>'Form 2C.1 - Design'!M152</f>
        <v>0</v>
      </c>
      <c r="N122" s="234"/>
      <c r="O122" s="234"/>
      <c r="P122" s="234"/>
      <c r="Q122" s="28" t="s">
        <v>34</v>
      </c>
      <c r="U122" s="65"/>
      <c r="V122" s="180"/>
      <c r="W122" s="180"/>
      <c r="X122" s="180"/>
      <c r="Y122" s="28" t="s">
        <v>40</v>
      </c>
      <c r="AA122" s="176"/>
      <c r="AB122" s="176"/>
      <c r="AC122" s="176"/>
      <c r="AD122" s="176"/>
      <c r="AE122" s="28" t="s">
        <v>36</v>
      </c>
      <c r="AG122" s="176"/>
      <c r="AH122" s="176"/>
      <c r="AI122" s="176"/>
      <c r="AJ122" s="176"/>
      <c r="AK122" s="28" t="s">
        <v>34</v>
      </c>
      <c r="AP122" s="94">
        <f t="shared" si="4"/>
        <v>1</v>
      </c>
    </row>
    <row r="123" spans="1:78" ht="13.95" customHeight="1" x14ac:dyDescent="0.3">
      <c r="B123" s="233">
        <f>'Form 2C.1 - Design'!C153</f>
        <v>0</v>
      </c>
      <c r="C123" s="233"/>
      <c r="D123" s="233"/>
      <c r="E123" s="28" t="s">
        <v>40</v>
      </c>
      <c r="G123" s="222">
        <f>'Form 2C.1 - Design'!H153</f>
        <v>0</v>
      </c>
      <c r="H123" s="222"/>
      <c r="I123" s="222"/>
      <c r="J123" s="222"/>
      <c r="K123" s="28" t="s">
        <v>36</v>
      </c>
      <c r="M123" s="234">
        <f>'Form 2C.1 - Design'!M153</f>
        <v>0</v>
      </c>
      <c r="N123" s="234"/>
      <c r="O123" s="234"/>
      <c r="P123" s="234"/>
      <c r="Q123" s="28" t="s">
        <v>34</v>
      </c>
      <c r="U123" s="65"/>
      <c r="V123" s="180"/>
      <c r="W123" s="180"/>
      <c r="X123" s="180"/>
      <c r="Y123" s="28" t="s">
        <v>40</v>
      </c>
      <c r="AA123" s="176"/>
      <c r="AB123" s="176"/>
      <c r="AC123" s="176"/>
      <c r="AD123" s="176"/>
      <c r="AE123" s="28" t="s">
        <v>36</v>
      </c>
      <c r="AG123" s="176"/>
      <c r="AH123" s="176"/>
      <c r="AI123" s="176"/>
      <c r="AJ123" s="176"/>
      <c r="AK123" s="28" t="s">
        <v>34</v>
      </c>
      <c r="AP123" s="94">
        <f t="shared" si="4"/>
        <v>1</v>
      </c>
    </row>
    <row r="124" spans="1:78" ht="13.95" customHeight="1" x14ac:dyDescent="0.3">
      <c r="B124" s="233">
        <f>'Form 2C.1 - Design'!C154</f>
        <v>0</v>
      </c>
      <c r="C124" s="233"/>
      <c r="D124" s="233"/>
      <c r="E124" s="28" t="s">
        <v>40</v>
      </c>
      <c r="G124" s="222">
        <f>'Form 2C.1 - Design'!H154</f>
        <v>0</v>
      </c>
      <c r="H124" s="222"/>
      <c r="I124" s="222"/>
      <c r="J124" s="222"/>
      <c r="K124" s="28" t="s">
        <v>36</v>
      </c>
      <c r="M124" s="234">
        <f>'Form 2C.1 - Design'!M154</f>
        <v>0</v>
      </c>
      <c r="N124" s="234"/>
      <c r="O124" s="234"/>
      <c r="P124" s="234"/>
      <c r="Q124" s="28" t="s">
        <v>34</v>
      </c>
      <c r="U124" s="65"/>
      <c r="V124" s="180"/>
      <c r="W124" s="180"/>
      <c r="X124" s="180"/>
      <c r="Y124" s="28" t="s">
        <v>40</v>
      </c>
      <c r="AA124" s="176"/>
      <c r="AB124" s="176"/>
      <c r="AC124" s="176"/>
      <c r="AD124" s="176"/>
      <c r="AE124" s="28" t="s">
        <v>36</v>
      </c>
      <c r="AG124" s="176"/>
      <c r="AH124" s="176"/>
      <c r="AI124" s="176"/>
      <c r="AJ124" s="176"/>
      <c r="AK124" s="28" t="s">
        <v>34</v>
      </c>
      <c r="AP124" s="94">
        <f t="shared" si="4"/>
        <v>1</v>
      </c>
    </row>
    <row r="125" spans="1:78" ht="13.95" customHeight="1" x14ac:dyDescent="0.3">
      <c r="B125" s="233">
        <f>'Form 2C.1 - Design'!C155</f>
        <v>0</v>
      </c>
      <c r="C125" s="233"/>
      <c r="D125" s="233"/>
      <c r="E125" s="28" t="s">
        <v>40</v>
      </c>
      <c r="G125" s="222">
        <f>'Form 2C.1 - Design'!H155</f>
        <v>0</v>
      </c>
      <c r="H125" s="222"/>
      <c r="I125" s="222"/>
      <c r="J125" s="222"/>
      <c r="K125" s="28" t="s">
        <v>36</v>
      </c>
      <c r="M125" s="234">
        <f>'Form 2C.1 - Design'!M155</f>
        <v>0</v>
      </c>
      <c r="N125" s="234"/>
      <c r="O125" s="234"/>
      <c r="P125" s="234"/>
      <c r="Q125" s="28" t="s">
        <v>34</v>
      </c>
      <c r="U125" s="65"/>
      <c r="V125" s="180"/>
      <c r="W125" s="180"/>
      <c r="X125" s="180"/>
      <c r="Y125" s="28" t="s">
        <v>40</v>
      </c>
      <c r="AA125" s="176"/>
      <c r="AB125" s="176"/>
      <c r="AC125" s="176"/>
      <c r="AD125" s="176"/>
      <c r="AE125" s="28" t="s">
        <v>36</v>
      </c>
      <c r="AG125" s="176"/>
      <c r="AH125" s="176"/>
      <c r="AI125" s="176"/>
      <c r="AJ125" s="176"/>
      <c r="AK125" s="28" t="s">
        <v>34</v>
      </c>
      <c r="AP125" s="94">
        <f t="shared" si="4"/>
        <v>1</v>
      </c>
    </row>
    <row r="126" spans="1:78" ht="13.95" customHeight="1" x14ac:dyDescent="0.3">
      <c r="B126" s="233">
        <f>'Form 2C.1 - Design'!C156</f>
        <v>0</v>
      </c>
      <c r="C126" s="233"/>
      <c r="D126" s="233"/>
      <c r="E126" s="28" t="s">
        <v>40</v>
      </c>
      <c r="G126" s="222">
        <f>'Form 2C.1 - Design'!H156</f>
        <v>0</v>
      </c>
      <c r="H126" s="222"/>
      <c r="I126" s="222"/>
      <c r="J126" s="222"/>
      <c r="K126" s="28" t="s">
        <v>36</v>
      </c>
      <c r="M126" s="234">
        <f>'Form 2C.1 - Design'!M156</f>
        <v>0</v>
      </c>
      <c r="N126" s="234"/>
      <c r="O126" s="234"/>
      <c r="P126" s="234"/>
      <c r="Q126" s="28" t="s">
        <v>34</v>
      </c>
      <c r="U126" s="65"/>
      <c r="V126" s="180"/>
      <c r="W126" s="180"/>
      <c r="X126" s="180"/>
      <c r="Y126" s="28" t="s">
        <v>40</v>
      </c>
      <c r="AA126" s="176"/>
      <c r="AB126" s="176"/>
      <c r="AC126" s="176"/>
      <c r="AD126" s="176"/>
      <c r="AE126" s="28" t="s">
        <v>36</v>
      </c>
      <c r="AG126" s="176"/>
      <c r="AH126" s="176"/>
      <c r="AI126" s="176"/>
      <c r="AJ126" s="176"/>
      <c r="AK126" s="28" t="s">
        <v>34</v>
      </c>
      <c r="AP126" s="94">
        <f t="shared" si="4"/>
        <v>1</v>
      </c>
    </row>
    <row r="127" spans="1:78" ht="13.95" customHeight="1" x14ac:dyDescent="0.3">
      <c r="B127" s="233">
        <f>'Form 2C.1 - Design'!S150</f>
        <v>0</v>
      </c>
      <c r="C127" s="233"/>
      <c r="D127" s="233"/>
      <c r="E127" s="28" t="s">
        <v>40</v>
      </c>
      <c r="G127" s="222">
        <f>'Form 2C.1 - Design'!X150</f>
        <v>0</v>
      </c>
      <c r="H127" s="222"/>
      <c r="I127" s="222"/>
      <c r="J127" s="222"/>
      <c r="K127" s="28" t="s">
        <v>36</v>
      </c>
      <c r="M127" s="234">
        <f>'Form 2C.1 - Design'!AC150</f>
        <v>0</v>
      </c>
      <c r="N127" s="234"/>
      <c r="O127" s="234"/>
      <c r="P127" s="234"/>
      <c r="Q127" s="28" t="s">
        <v>34</v>
      </c>
      <c r="U127" s="65"/>
      <c r="V127" s="180"/>
      <c r="W127" s="180"/>
      <c r="X127" s="180"/>
      <c r="Y127" s="28" t="s">
        <v>40</v>
      </c>
      <c r="AA127" s="176"/>
      <c r="AB127" s="176"/>
      <c r="AC127" s="176"/>
      <c r="AD127" s="176"/>
      <c r="AE127" s="28" t="s">
        <v>36</v>
      </c>
      <c r="AG127" s="176"/>
      <c r="AH127" s="176"/>
      <c r="AI127" s="176"/>
      <c r="AJ127" s="176"/>
      <c r="AK127" s="28" t="s">
        <v>34</v>
      </c>
      <c r="AP127" s="94">
        <f t="shared" si="4"/>
        <v>1</v>
      </c>
    </row>
    <row r="128" spans="1:78" ht="13.95" customHeight="1" x14ac:dyDescent="0.3">
      <c r="B128" s="233">
        <f>'Form 2C.1 - Design'!S151</f>
        <v>0</v>
      </c>
      <c r="C128" s="233"/>
      <c r="D128" s="233"/>
      <c r="E128" s="28" t="s">
        <v>40</v>
      </c>
      <c r="G128" s="222">
        <f>'Form 2C.1 - Design'!X151</f>
        <v>0</v>
      </c>
      <c r="H128" s="222"/>
      <c r="I128" s="222"/>
      <c r="J128" s="222"/>
      <c r="K128" s="28" t="s">
        <v>36</v>
      </c>
      <c r="M128" s="234">
        <f>'Form 2C.1 - Design'!AC151</f>
        <v>0</v>
      </c>
      <c r="N128" s="234"/>
      <c r="O128" s="234"/>
      <c r="P128" s="234"/>
      <c r="Q128" s="28" t="s">
        <v>34</v>
      </c>
      <c r="U128" s="65"/>
      <c r="V128" s="180"/>
      <c r="W128" s="180"/>
      <c r="X128" s="180"/>
      <c r="Y128" s="28" t="s">
        <v>40</v>
      </c>
      <c r="AA128" s="176"/>
      <c r="AB128" s="176"/>
      <c r="AC128" s="176"/>
      <c r="AD128" s="176"/>
      <c r="AE128" s="28" t="s">
        <v>36</v>
      </c>
      <c r="AG128" s="176"/>
      <c r="AH128" s="176"/>
      <c r="AI128" s="176"/>
      <c r="AJ128" s="176"/>
      <c r="AK128" s="28" t="s">
        <v>34</v>
      </c>
      <c r="AP128" s="94">
        <f t="shared" si="4"/>
        <v>1</v>
      </c>
    </row>
    <row r="129" spans="1:46" ht="13.95" customHeight="1" x14ac:dyDescent="0.3">
      <c r="B129" s="233">
        <f>'Form 2C.1 - Design'!S152</f>
        <v>0</v>
      </c>
      <c r="C129" s="233"/>
      <c r="D129" s="233"/>
      <c r="E129" s="28" t="s">
        <v>40</v>
      </c>
      <c r="G129" s="222">
        <f>'Form 2C.1 - Design'!X152</f>
        <v>0</v>
      </c>
      <c r="H129" s="222"/>
      <c r="I129" s="222"/>
      <c r="J129" s="222"/>
      <c r="K129" s="28" t="s">
        <v>36</v>
      </c>
      <c r="M129" s="234">
        <f>'Form 2C.1 - Design'!AC152</f>
        <v>0</v>
      </c>
      <c r="N129" s="234"/>
      <c r="O129" s="234"/>
      <c r="P129" s="234"/>
      <c r="Q129" s="28" t="s">
        <v>34</v>
      </c>
      <c r="U129" s="65"/>
      <c r="V129" s="180"/>
      <c r="W129" s="180"/>
      <c r="X129" s="180"/>
      <c r="Y129" s="28" t="s">
        <v>40</v>
      </c>
      <c r="AA129" s="176"/>
      <c r="AB129" s="176"/>
      <c r="AC129" s="176"/>
      <c r="AD129" s="176"/>
      <c r="AE129" s="28" t="s">
        <v>36</v>
      </c>
      <c r="AG129" s="176"/>
      <c r="AH129" s="176"/>
      <c r="AI129" s="176"/>
      <c r="AJ129" s="176"/>
      <c r="AK129" s="28" t="s">
        <v>34</v>
      </c>
      <c r="AP129" s="94">
        <f t="shared" si="4"/>
        <v>1</v>
      </c>
    </row>
    <row r="130" spans="1:46" ht="13.95" customHeight="1" x14ac:dyDescent="0.3">
      <c r="B130" s="233">
        <f>'Form 2C.1 - Design'!S153</f>
        <v>0</v>
      </c>
      <c r="C130" s="233"/>
      <c r="D130" s="233"/>
      <c r="E130" s="28" t="s">
        <v>40</v>
      </c>
      <c r="G130" s="222">
        <f>'Form 2C.1 - Design'!X153</f>
        <v>0</v>
      </c>
      <c r="H130" s="222"/>
      <c r="I130" s="222"/>
      <c r="J130" s="222"/>
      <c r="K130" s="28" t="s">
        <v>36</v>
      </c>
      <c r="M130" s="234">
        <f>'Form 2C.1 - Design'!AC153</f>
        <v>0</v>
      </c>
      <c r="N130" s="234"/>
      <c r="O130" s="234"/>
      <c r="P130" s="234"/>
      <c r="Q130" s="28" t="s">
        <v>34</v>
      </c>
      <c r="U130" s="65"/>
      <c r="V130" s="180"/>
      <c r="W130" s="180"/>
      <c r="X130" s="180"/>
      <c r="Y130" s="28" t="s">
        <v>40</v>
      </c>
      <c r="AA130" s="176"/>
      <c r="AB130" s="176"/>
      <c r="AC130" s="176"/>
      <c r="AD130" s="176"/>
      <c r="AE130" s="28" t="s">
        <v>36</v>
      </c>
      <c r="AG130" s="176"/>
      <c r="AH130" s="176"/>
      <c r="AI130" s="176"/>
      <c r="AJ130" s="176"/>
      <c r="AK130" s="28" t="s">
        <v>34</v>
      </c>
      <c r="AP130" s="94">
        <f t="shared" si="4"/>
        <v>1</v>
      </c>
    </row>
    <row r="131" spans="1:46" ht="13.95" customHeight="1" x14ac:dyDescent="0.3">
      <c r="B131" s="233">
        <f>'Form 2C.1 - Design'!S154</f>
        <v>0</v>
      </c>
      <c r="C131" s="233"/>
      <c r="D131" s="233"/>
      <c r="E131" s="28" t="s">
        <v>40</v>
      </c>
      <c r="G131" s="222">
        <f>'Form 2C.1 - Design'!X154</f>
        <v>0</v>
      </c>
      <c r="H131" s="222"/>
      <c r="I131" s="222"/>
      <c r="J131" s="222"/>
      <c r="K131" s="28" t="s">
        <v>36</v>
      </c>
      <c r="M131" s="234">
        <f>'Form 2C.1 - Design'!AC154</f>
        <v>0</v>
      </c>
      <c r="N131" s="234"/>
      <c r="O131" s="234"/>
      <c r="P131" s="234"/>
      <c r="Q131" s="28" t="s">
        <v>34</v>
      </c>
      <c r="U131" s="65"/>
      <c r="V131" s="180"/>
      <c r="W131" s="180"/>
      <c r="X131" s="180"/>
      <c r="Y131" s="28" t="s">
        <v>40</v>
      </c>
      <c r="AA131" s="176"/>
      <c r="AB131" s="176"/>
      <c r="AC131" s="176"/>
      <c r="AD131" s="176"/>
      <c r="AE131" s="28" t="s">
        <v>36</v>
      </c>
      <c r="AG131" s="176"/>
      <c r="AH131" s="176"/>
      <c r="AI131" s="176"/>
      <c r="AJ131" s="176"/>
      <c r="AK131" s="28" t="s">
        <v>34</v>
      </c>
      <c r="AP131" s="94">
        <f t="shared" si="4"/>
        <v>1</v>
      </c>
    </row>
    <row r="132" spans="1:46" ht="13.95" customHeight="1" x14ac:dyDescent="0.3">
      <c r="B132" s="233">
        <f>'Form 2C.1 - Design'!S155</f>
        <v>0</v>
      </c>
      <c r="C132" s="233"/>
      <c r="D132" s="233"/>
      <c r="E132" s="28" t="s">
        <v>40</v>
      </c>
      <c r="G132" s="222">
        <f>'Form 2C.1 - Design'!X155</f>
        <v>0</v>
      </c>
      <c r="H132" s="222"/>
      <c r="I132" s="222"/>
      <c r="J132" s="222"/>
      <c r="K132" s="28" t="s">
        <v>36</v>
      </c>
      <c r="M132" s="234">
        <f>'Form 2C.1 - Design'!AC155</f>
        <v>0</v>
      </c>
      <c r="N132" s="234"/>
      <c r="O132" s="234"/>
      <c r="P132" s="234"/>
      <c r="Q132" s="28" t="s">
        <v>34</v>
      </c>
      <c r="U132" s="65"/>
      <c r="V132" s="180"/>
      <c r="W132" s="180"/>
      <c r="X132" s="180"/>
      <c r="Y132" s="28" t="s">
        <v>40</v>
      </c>
      <c r="AA132" s="176"/>
      <c r="AB132" s="176"/>
      <c r="AC132" s="176"/>
      <c r="AD132" s="176"/>
      <c r="AE132" s="28" t="s">
        <v>36</v>
      </c>
      <c r="AG132" s="176"/>
      <c r="AH132" s="176"/>
      <c r="AI132" s="176"/>
      <c r="AJ132" s="176"/>
      <c r="AK132" s="28" t="s">
        <v>34</v>
      </c>
      <c r="AP132" s="94">
        <f t="shared" si="4"/>
        <v>1</v>
      </c>
    </row>
    <row r="133" spans="1:46" ht="13.95" customHeight="1" x14ac:dyDescent="0.3">
      <c r="B133" s="233">
        <f>'Form 2C.1 - Design'!S156</f>
        <v>0</v>
      </c>
      <c r="C133" s="233"/>
      <c r="D133" s="233"/>
      <c r="E133" s="28" t="s">
        <v>40</v>
      </c>
      <c r="G133" s="222">
        <f>'Form 2C.1 - Design'!X156</f>
        <v>0</v>
      </c>
      <c r="H133" s="222"/>
      <c r="I133" s="222"/>
      <c r="J133" s="222"/>
      <c r="K133" s="28" t="s">
        <v>36</v>
      </c>
      <c r="M133" s="234">
        <f>'Form 2C.1 - Design'!AC156</f>
        <v>0</v>
      </c>
      <c r="N133" s="234"/>
      <c r="O133" s="234"/>
      <c r="P133" s="234"/>
      <c r="Q133" s="28" t="s">
        <v>34</v>
      </c>
      <c r="U133" s="65"/>
      <c r="V133" s="180"/>
      <c r="W133" s="180"/>
      <c r="X133" s="180"/>
      <c r="Y133" s="28" t="s">
        <v>40</v>
      </c>
      <c r="AA133" s="176"/>
      <c r="AB133" s="176"/>
      <c r="AC133" s="176"/>
      <c r="AD133" s="176"/>
      <c r="AE133" s="28" t="s">
        <v>36</v>
      </c>
      <c r="AG133" s="176"/>
      <c r="AH133" s="176"/>
      <c r="AI133" s="176"/>
      <c r="AJ133" s="176"/>
      <c r="AK133" s="28" t="s">
        <v>34</v>
      </c>
      <c r="AP133" s="94">
        <f t="shared" si="4"/>
        <v>1</v>
      </c>
    </row>
    <row r="134" spans="1:46" ht="4.95" customHeight="1" x14ac:dyDescent="0.3">
      <c r="H134" s="33"/>
      <c r="J134" s="37"/>
      <c r="K134" s="37"/>
      <c r="L134" s="37"/>
      <c r="N134" s="41"/>
      <c r="O134" s="41"/>
      <c r="P134" s="41"/>
      <c r="Q134" s="41"/>
      <c r="W134" s="33"/>
      <c r="X134" s="33"/>
      <c r="Y134" s="33"/>
      <c r="AA134" s="37"/>
      <c r="AB134" s="37"/>
      <c r="AC134" s="37"/>
      <c r="AE134" s="41"/>
      <c r="AF134" s="41"/>
      <c r="AG134" s="41"/>
      <c r="AH134" s="41"/>
    </row>
    <row r="135" spans="1:46" ht="15" customHeight="1" x14ac:dyDescent="0.3">
      <c r="A135" s="239" t="s">
        <v>229</v>
      </c>
      <c r="B135" s="239"/>
      <c r="C135" s="239"/>
      <c r="D135" s="239"/>
      <c r="E135" s="239"/>
      <c r="F135" s="239"/>
      <c r="G135" s="239"/>
      <c r="H135" s="239"/>
      <c r="I135" s="239"/>
      <c r="J135" s="239"/>
      <c r="K135" s="239"/>
      <c r="L135" s="239"/>
      <c r="M135" s="239"/>
      <c r="N135" s="239"/>
      <c r="O135" s="239"/>
      <c r="P135" s="239"/>
      <c r="Q135" s="239"/>
      <c r="R135" s="239"/>
      <c r="S135" s="239"/>
      <c r="T135" s="239"/>
      <c r="U135" s="239"/>
      <c r="V135" s="239"/>
      <c r="W135" s="239"/>
      <c r="X135" s="239"/>
      <c r="Y135" s="239"/>
      <c r="Z135" s="239"/>
      <c r="AA135" s="239"/>
      <c r="AB135" s="239"/>
      <c r="AC135" s="239"/>
      <c r="AD135" s="239"/>
      <c r="AE135" s="239"/>
      <c r="AF135" s="239"/>
      <c r="AG135" s="239"/>
      <c r="AH135" s="239"/>
      <c r="AI135" s="239"/>
      <c r="AJ135" s="239"/>
      <c r="AK135" s="239"/>
      <c r="AL135" s="239"/>
      <c r="AM135" s="57"/>
      <c r="AN135" s="57"/>
      <c r="AO135" s="57"/>
      <c r="AQ135" s="98">
        <f>Tables!F26</f>
        <v>6</v>
      </c>
      <c r="AR135" s="13" t="s">
        <v>287</v>
      </c>
    </row>
    <row r="136" spans="1:46" ht="30" customHeight="1" x14ac:dyDescent="0.3">
      <c r="B136" s="1" t="s">
        <v>54</v>
      </c>
      <c r="I136" s="228" t="s">
        <v>117</v>
      </c>
      <c r="J136" s="228"/>
      <c r="K136" s="228"/>
      <c r="L136" s="117"/>
      <c r="M136" s="228" t="s">
        <v>235</v>
      </c>
      <c r="N136" s="228"/>
      <c r="O136" s="228"/>
      <c r="Q136" s="228" t="s">
        <v>236</v>
      </c>
      <c r="R136" s="228"/>
      <c r="S136" s="228"/>
      <c r="U136" s="228" t="s">
        <v>60</v>
      </c>
      <c r="V136" s="228"/>
      <c r="W136" s="228"/>
      <c r="Y136" s="228" t="s">
        <v>423</v>
      </c>
      <c r="Z136" s="228"/>
      <c r="AA136" s="228"/>
      <c r="AB136" s="228"/>
      <c r="AD136" s="228" t="s">
        <v>424</v>
      </c>
      <c r="AE136" s="228"/>
      <c r="AF136" s="228"/>
      <c r="AH136" s="228" t="s">
        <v>118</v>
      </c>
      <c r="AI136" s="228"/>
      <c r="AJ136" s="228"/>
      <c r="AK136" s="228"/>
      <c r="AM136" s="13" t="s">
        <v>349</v>
      </c>
      <c r="AN136" s="13" t="s">
        <v>348</v>
      </c>
      <c r="AO136" s="13" t="s">
        <v>396</v>
      </c>
    </row>
    <row r="137" spans="1:46" ht="14.55" customHeight="1" x14ac:dyDescent="0.3">
      <c r="C137" s="173">
        <f>Tables!$F$16</f>
        <v>4.21</v>
      </c>
      <c r="D137" s="173"/>
      <c r="G137" s="2" t="str">
        <f>Tables!$D$16</f>
        <v>(2-yr)</v>
      </c>
      <c r="I137" s="210">
        <f>'Form 2C.1 - Design'!I164</f>
        <v>0</v>
      </c>
      <c r="J137" s="210"/>
      <c r="K137" s="210"/>
      <c r="L137" s="117"/>
      <c r="M137" s="236">
        <f>'Form 2C.1 - Design'!M164</f>
        <v>0</v>
      </c>
      <c r="N137" s="236"/>
      <c r="O137" s="236"/>
      <c r="Q137" s="236">
        <f>'Form 2C.1 - Design'!Q164</f>
        <v>0</v>
      </c>
      <c r="R137" s="236"/>
      <c r="S137" s="236"/>
      <c r="U137" s="236">
        <f>'Form 2C.1 - Design'!U164</f>
        <v>0</v>
      </c>
      <c r="V137" s="236"/>
      <c r="W137" s="236"/>
      <c r="Y137" s="236">
        <f>'Form 2C.1 - Design'!Y164</f>
        <v>0</v>
      </c>
      <c r="Z137" s="236"/>
      <c r="AA137" s="236"/>
      <c r="AB137" s="236"/>
      <c r="AH137" s="236">
        <f>'Form 2C.1 - Design'!AG164</f>
        <v>0</v>
      </c>
      <c r="AI137" s="236"/>
      <c r="AJ137" s="236"/>
      <c r="AK137" s="236"/>
      <c r="AM137" s="94">
        <f t="shared" ref="AM137:AM142" si="5">IF(AH137&gt;I137,1,0)</f>
        <v>0</v>
      </c>
      <c r="AN137" s="94">
        <f>IF(OR($AR$138=0,$AR$140=2),0,IF($AH137&gt;$AR$138,1,0))</f>
        <v>0</v>
      </c>
      <c r="AO137" s="94">
        <f>IF(OR($AR$139=0,$AR$140=2),0,IF($AH137&gt;$AR$139,1,0))</f>
        <v>0</v>
      </c>
      <c r="AQ137" s="22" t="s">
        <v>392</v>
      </c>
      <c r="AR137" s="22" t="s">
        <v>140</v>
      </c>
    </row>
    <row r="138" spans="1:46" ht="14.55" customHeight="1" x14ac:dyDescent="0.3">
      <c r="C138" s="173">
        <f>Tables!$F$17</f>
        <v>5.24</v>
      </c>
      <c r="D138" s="173"/>
      <c r="G138" s="2" t="str">
        <f>Tables!$D$17</f>
        <v>(5-yr)</v>
      </c>
      <c r="I138" s="235">
        <f>'Form 2C.1 - Design'!I165</f>
        <v>0</v>
      </c>
      <c r="J138" s="235"/>
      <c r="K138" s="235"/>
      <c r="L138" s="117"/>
      <c r="M138" s="238">
        <f>'Form 2C.1 - Design'!M165</f>
        <v>0</v>
      </c>
      <c r="N138" s="238"/>
      <c r="O138" s="238"/>
      <c r="Q138" s="238">
        <f>'Form 2C.1 - Design'!Q165</f>
        <v>0</v>
      </c>
      <c r="R138" s="238"/>
      <c r="S138" s="238"/>
      <c r="U138" s="238">
        <f>'Form 2C.1 - Design'!U165</f>
        <v>0</v>
      </c>
      <c r="V138" s="238"/>
      <c r="W138" s="238"/>
      <c r="Y138" s="236">
        <f>'Form 2C.1 - Design'!Y165</f>
        <v>0</v>
      </c>
      <c r="Z138" s="236"/>
      <c r="AA138" s="236"/>
      <c r="AB138" s="236"/>
      <c r="AH138" s="238">
        <f>'Form 2C.1 - Design'!AG165</f>
        <v>0</v>
      </c>
      <c r="AI138" s="238"/>
      <c r="AJ138" s="238"/>
      <c r="AK138" s="238"/>
      <c r="AM138" s="94">
        <f t="shared" si="5"/>
        <v>0</v>
      </c>
      <c r="AN138" s="94">
        <f t="shared" ref="AN138:AN142" si="6">IF(OR($AR$138=0,$AR$140=2),0,IF($AH138&gt;$AR$138,1,0))</f>
        <v>0</v>
      </c>
      <c r="AO138" s="94">
        <f t="shared" ref="AO138:AO142" si="7">IF(OR($AR$139=0,$AR$140=2),0,IF($AH138&gt;$AR$139,1,0))</f>
        <v>0</v>
      </c>
      <c r="AP138" s="94">
        <f>IF(AQ138="Yes",'Form 2C.1 - Design'!AM182,1)</f>
        <v>1</v>
      </c>
      <c r="AQ138" s="94" t="str">
        <f>'Form 2C.1 - Design'!AO182</f>
        <v>No</v>
      </c>
      <c r="AR138" s="98">
        <f>'Form 2C.1 - Design'!AN182</f>
        <v>0</v>
      </c>
      <c r="AS138" s="55" t="s">
        <v>348</v>
      </c>
      <c r="AT138" s="55"/>
    </row>
    <row r="139" spans="1:46" ht="14.55" customHeight="1" x14ac:dyDescent="0.3">
      <c r="C139" s="173">
        <f>Tables!$F$18</f>
        <v>6.17</v>
      </c>
      <c r="D139" s="173"/>
      <c r="G139" s="2" t="str">
        <f>Tables!$D$18</f>
        <v>(10-yr)</v>
      </c>
      <c r="I139" s="235">
        <f>'Form 2C.1 - Design'!I166</f>
        <v>0</v>
      </c>
      <c r="J139" s="235"/>
      <c r="K139" s="235"/>
      <c r="L139" s="117"/>
      <c r="M139" s="238">
        <f>'Form 2C.1 - Design'!M166</f>
        <v>0</v>
      </c>
      <c r="N139" s="238"/>
      <c r="O139" s="238"/>
      <c r="Q139" s="238">
        <f>'Form 2C.1 - Design'!Q166</f>
        <v>0</v>
      </c>
      <c r="R139" s="238"/>
      <c r="S139" s="238"/>
      <c r="U139" s="238">
        <f>'Form 2C.1 - Design'!U166</f>
        <v>0</v>
      </c>
      <c r="V139" s="238"/>
      <c r="W139" s="238"/>
      <c r="Y139" s="236">
        <f>'Form 2C.1 - Design'!Y166</f>
        <v>0</v>
      </c>
      <c r="Z139" s="236"/>
      <c r="AA139" s="236"/>
      <c r="AB139" s="236"/>
      <c r="AH139" s="238">
        <f>'Form 2C.1 - Design'!AG166</f>
        <v>0</v>
      </c>
      <c r="AI139" s="238"/>
      <c r="AJ139" s="238"/>
      <c r="AK139" s="238"/>
      <c r="AM139" s="94">
        <f t="shared" si="5"/>
        <v>0</v>
      </c>
      <c r="AN139" s="94">
        <f t="shared" si="6"/>
        <v>0</v>
      </c>
      <c r="AO139" s="94">
        <f t="shared" si="7"/>
        <v>0</v>
      </c>
      <c r="AP139" s="94">
        <f>IF(AQ139="Yes",'Form 2C.1 - Design'!AM184,1)</f>
        <v>1</v>
      </c>
      <c r="AQ139" s="94" t="str">
        <f>'Form 2C.1 - Design'!AO184</f>
        <v>Yes</v>
      </c>
      <c r="AR139" s="98">
        <f>'Form 2C.1 - Design'!AN184</f>
        <v>0</v>
      </c>
      <c r="AS139" s="55" t="s">
        <v>353</v>
      </c>
      <c r="AT139" s="55"/>
    </row>
    <row r="140" spans="1:46" ht="14.55" customHeight="1" x14ac:dyDescent="0.3">
      <c r="C140" s="173">
        <f>Tables!$F$19</f>
        <v>7.55</v>
      </c>
      <c r="D140" s="173"/>
      <c r="G140" s="2" t="str">
        <f>Tables!$D$19</f>
        <v>(25-yr)</v>
      </c>
      <c r="I140" s="235">
        <f>'Form 2C.1 - Design'!I167</f>
        <v>0</v>
      </c>
      <c r="J140" s="235"/>
      <c r="K140" s="235"/>
      <c r="L140" s="117"/>
      <c r="M140" s="238">
        <f>'Form 2C.1 - Design'!M167</f>
        <v>0</v>
      </c>
      <c r="N140" s="238"/>
      <c r="O140" s="238"/>
      <c r="Q140" s="238">
        <f>'Form 2C.1 - Design'!Q167</f>
        <v>0</v>
      </c>
      <c r="R140" s="238"/>
      <c r="S140" s="238"/>
      <c r="U140" s="238">
        <f>'Form 2C.1 - Design'!U167</f>
        <v>0</v>
      </c>
      <c r="V140" s="238"/>
      <c r="W140" s="238"/>
      <c r="Y140" s="236">
        <f>'Form 2C.1 - Design'!Y167</f>
        <v>0</v>
      </c>
      <c r="Z140" s="236"/>
      <c r="AA140" s="236"/>
      <c r="AB140" s="236"/>
      <c r="AH140" s="238">
        <f>'Form 2C.1 - Design'!AG167</f>
        <v>0</v>
      </c>
      <c r="AI140" s="238"/>
      <c r="AJ140" s="238"/>
      <c r="AK140" s="238"/>
      <c r="AM140" s="94">
        <f t="shared" si="5"/>
        <v>0</v>
      </c>
      <c r="AN140" s="94">
        <f t="shared" si="6"/>
        <v>0</v>
      </c>
      <c r="AO140" s="94">
        <f t="shared" si="7"/>
        <v>0</v>
      </c>
      <c r="AP140" s="98">
        <f>'Form 2C.1 - Design'!AN182</f>
        <v>0</v>
      </c>
      <c r="AR140" s="94">
        <f>'Form 2C.1 - Design'!AN200</f>
        <v>1</v>
      </c>
      <c r="AS140" s="13" t="s">
        <v>430</v>
      </c>
    </row>
    <row r="141" spans="1:46" ht="14.55" customHeight="1" x14ac:dyDescent="0.3">
      <c r="C141" s="173">
        <f>Tables!$F$20</f>
        <v>8.6999999999999993</v>
      </c>
      <c r="D141" s="173"/>
      <c r="G141" s="2" t="str">
        <f>Tables!$D$20</f>
        <v>(50-yr)</v>
      </c>
      <c r="I141" s="235">
        <f>'Form 2C.1 - Design'!I168</f>
        <v>0</v>
      </c>
      <c r="J141" s="235"/>
      <c r="K141" s="235"/>
      <c r="L141" s="117"/>
      <c r="M141" s="238">
        <f>'Form 2C.1 - Design'!M168</f>
        <v>0</v>
      </c>
      <c r="N141" s="238"/>
      <c r="O141" s="238"/>
      <c r="Q141" s="238">
        <f>'Form 2C.1 - Design'!Q168</f>
        <v>0</v>
      </c>
      <c r="R141" s="238"/>
      <c r="S141" s="238"/>
      <c r="U141" s="238">
        <f>'Form 2C.1 - Design'!U168</f>
        <v>0</v>
      </c>
      <c r="V141" s="238"/>
      <c r="W141" s="238"/>
      <c r="Y141" s="236">
        <f>'Form 2C.1 - Design'!Y168</f>
        <v>0</v>
      </c>
      <c r="Z141" s="236"/>
      <c r="AA141" s="236"/>
      <c r="AB141" s="236"/>
      <c r="AH141" s="238">
        <f>'Form 2C.1 - Design'!AG168</f>
        <v>0</v>
      </c>
      <c r="AI141" s="238"/>
      <c r="AJ141" s="238"/>
      <c r="AK141" s="238"/>
      <c r="AM141" s="94">
        <f t="shared" si="5"/>
        <v>0</v>
      </c>
      <c r="AN141" s="94">
        <f t="shared" si="6"/>
        <v>0</v>
      </c>
      <c r="AO141" s="94">
        <f t="shared" si="7"/>
        <v>0</v>
      </c>
      <c r="AP141" s="94" t="str">
        <f>'Form 2C.1 - Design'!AO182</f>
        <v>No</v>
      </c>
    </row>
    <row r="142" spans="1:46" ht="14.55" customHeight="1" x14ac:dyDescent="0.3">
      <c r="C142" s="173">
        <f>Tables!$F$21</f>
        <v>9.93</v>
      </c>
      <c r="D142" s="173"/>
      <c r="G142" s="2" t="str">
        <f>Tables!$D$21</f>
        <v>(100-yr)</v>
      </c>
      <c r="I142" s="235">
        <f>'Form 2C.1 - Design'!I169</f>
        <v>0</v>
      </c>
      <c r="J142" s="235"/>
      <c r="K142" s="235"/>
      <c r="L142" s="117"/>
      <c r="M142" s="238">
        <f>'Form 2C.1 - Design'!M169</f>
        <v>0</v>
      </c>
      <c r="N142" s="238"/>
      <c r="O142" s="238"/>
      <c r="Q142" s="238">
        <f>'Form 2C.1 - Design'!Q169</f>
        <v>0</v>
      </c>
      <c r="R142" s="238"/>
      <c r="S142" s="238"/>
      <c r="U142" s="238">
        <f>'Form 2C.1 - Design'!U169</f>
        <v>0</v>
      </c>
      <c r="V142" s="238"/>
      <c r="W142" s="238"/>
      <c r="Y142" s="236">
        <f>'Form 2C.1 - Design'!Y169</f>
        <v>0</v>
      </c>
      <c r="Z142" s="236"/>
      <c r="AA142" s="236"/>
      <c r="AB142" s="236"/>
      <c r="AD142" s="236">
        <f>'Form 2C.1 - Design'!AC169</f>
        <v>0</v>
      </c>
      <c r="AE142" s="236"/>
      <c r="AF142" s="236"/>
      <c r="AH142" s="238">
        <f>'Form 2C.1 - Design'!AG169</f>
        <v>0</v>
      </c>
      <c r="AI142" s="238"/>
      <c r="AJ142" s="238"/>
      <c r="AK142" s="238"/>
      <c r="AM142" s="94">
        <f t="shared" si="5"/>
        <v>0</v>
      </c>
      <c r="AN142" s="94">
        <f t="shared" si="6"/>
        <v>0</v>
      </c>
      <c r="AO142" s="94">
        <f t="shared" si="7"/>
        <v>0</v>
      </c>
    </row>
    <row r="143" spans="1:46" ht="30" customHeight="1" x14ac:dyDescent="0.3">
      <c r="B143" s="1" t="s">
        <v>55</v>
      </c>
      <c r="I143" s="237" t="s">
        <v>117</v>
      </c>
      <c r="J143" s="237"/>
      <c r="K143" s="237"/>
      <c r="L143" s="117"/>
      <c r="M143" s="237" t="s">
        <v>235</v>
      </c>
      <c r="N143" s="237"/>
      <c r="O143" s="237"/>
      <c r="Q143" s="237" t="s">
        <v>569</v>
      </c>
      <c r="R143" s="237"/>
      <c r="S143" s="237"/>
      <c r="U143" s="237" t="s">
        <v>60</v>
      </c>
      <c r="V143" s="237"/>
      <c r="W143" s="237"/>
      <c r="Y143" s="228" t="s">
        <v>423</v>
      </c>
      <c r="Z143" s="228"/>
      <c r="AA143" s="228"/>
      <c r="AB143" s="228"/>
      <c r="AD143" s="228" t="s">
        <v>424</v>
      </c>
      <c r="AE143" s="228"/>
      <c r="AF143" s="228"/>
      <c r="AH143" s="237" t="s">
        <v>118</v>
      </c>
      <c r="AI143" s="237"/>
      <c r="AJ143" s="237"/>
      <c r="AK143" s="237"/>
      <c r="AM143" s="94">
        <f>SUM(AM144:AM149)</f>
        <v>6</v>
      </c>
      <c r="AN143" s="94">
        <f>SUM(AN144:AN149)</f>
        <v>6</v>
      </c>
      <c r="AO143" s="94">
        <f>SUM(AO144:AO148)</f>
        <v>5</v>
      </c>
      <c r="AP143" s="94">
        <f>AP149</f>
        <v>1</v>
      </c>
      <c r="AQ143" s="94">
        <f>SUM(AQ144:AQ149)</f>
        <v>0</v>
      </c>
      <c r="AR143" s="94">
        <f>SUM(AR144:AR149)</f>
        <v>0</v>
      </c>
      <c r="AS143" s="94">
        <f>SUM(AS144:AS149)</f>
        <v>6</v>
      </c>
      <c r="AT143" s="94">
        <f>SUM(AT144:AT149)</f>
        <v>6</v>
      </c>
    </row>
    <row r="144" spans="1:46" ht="14.55" customHeight="1" x14ac:dyDescent="0.3">
      <c r="C144" s="173">
        <f>Tables!$F$16</f>
        <v>4.21</v>
      </c>
      <c r="D144" s="173"/>
      <c r="G144" s="2" t="str">
        <f>Tables!$D$16</f>
        <v>(2-yr)</v>
      </c>
      <c r="I144" s="174"/>
      <c r="J144" s="174"/>
      <c r="K144" s="174"/>
      <c r="L144" s="117"/>
      <c r="M144" s="174"/>
      <c r="N144" s="174"/>
      <c r="O144" s="174"/>
      <c r="Q144" s="174"/>
      <c r="R144" s="174"/>
      <c r="S144" s="174"/>
      <c r="U144" s="174"/>
      <c r="V144" s="174"/>
      <c r="W144" s="174"/>
      <c r="Y144" s="174"/>
      <c r="Z144" s="174"/>
      <c r="AA144" s="174"/>
      <c r="AB144" s="174"/>
      <c r="AH144" s="241"/>
      <c r="AI144" s="241"/>
      <c r="AJ144" s="241"/>
      <c r="AK144" s="241"/>
      <c r="AM144" s="94">
        <f t="shared" ref="AM144:AM149" si="8">IF(ISBLANK(I144),1,IF(I144=I137,0,1))</f>
        <v>1</v>
      </c>
      <c r="AN144" s="94">
        <f t="shared" ref="AN144:AN149" si="9">IF(ISBLANK(M144),1,IF(M144=M137,0,1))</f>
        <v>1</v>
      </c>
      <c r="AO144" s="94">
        <f>IF(OR(ISBLANK(U144),ISBLANK(Y$103)),1,IF(U144&gt;Y$103,1,0))</f>
        <v>1</v>
      </c>
      <c r="AP144" s="164"/>
      <c r="AQ144" s="94">
        <f>IF(OR($AR$138=0,$AR$140=2),0,IF($AH144&gt;$AR$138,1,0))</f>
        <v>0</v>
      </c>
      <c r="AR144" s="94">
        <f>IF(OR($AR$139=0,$AR$140=2),0,IF($AH144&gt;$AR$139,1,0))</f>
        <v>0</v>
      </c>
      <c r="AS144" s="94">
        <f t="shared" ref="AS144:AS149" si="10">IF(OR(ISBLANK(AH144),ISBLANK(I144)),1,IF(AH144&gt;I144,1,0))</f>
        <v>1</v>
      </c>
      <c r="AT144" s="94">
        <f t="shared" ref="AT144:AT149" si="11">IF(ISBLANK(Y144),1,IF(Y144&gt;$AQ$135,1,0))</f>
        <v>1</v>
      </c>
    </row>
    <row r="145" spans="2:46" ht="14.55" customHeight="1" x14ac:dyDescent="0.3">
      <c r="C145" s="173">
        <f>Tables!$F$17</f>
        <v>5.24</v>
      </c>
      <c r="D145" s="173"/>
      <c r="G145" s="2" t="str">
        <f>Tables!$D$17</f>
        <v>(5-yr)</v>
      </c>
      <c r="I145" s="175"/>
      <c r="J145" s="175"/>
      <c r="K145" s="175"/>
      <c r="L145" s="117"/>
      <c r="M145" s="175"/>
      <c r="N145" s="175"/>
      <c r="O145" s="175"/>
      <c r="Q145" s="175"/>
      <c r="R145" s="175"/>
      <c r="S145" s="175"/>
      <c r="U145" s="175"/>
      <c r="V145" s="175"/>
      <c r="W145" s="175"/>
      <c r="Y145" s="175"/>
      <c r="Z145" s="175"/>
      <c r="AA145" s="175"/>
      <c r="AB145" s="175"/>
      <c r="AH145" s="227"/>
      <c r="AI145" s="227"/>
      <c r="AJ145" s="227"/>
      <c r="AK145" s="227"/>
      <c r="AM145" s="94">
        <f t="shared" si="8"/>
        <v>1</v>
      </c>
      <c r="AN145" s="94">
        <f t="shared" si="9"/>
        <v>1</v>
      </c>
      <c r="AO145" s="94">
        <f>IF(OR(ISBLANK(U145),ISBLANK(Y$103)),1,IF(U145&gt;Y$103,1,0))</f>
        <v>1</v>
      </c>
      <c r="AP145" s="165"/>
      <c r="AQ145" s="94">
        <f t="shared" ref="AQ145:AQ149" si="12">IF(OR($AR$138=0,$AR$140=2),0,IF($AH145&gt;$AR$138,1,0))</f>
        <v>0</v>
      </c>
      <c r="AR145" s="94">
        <f t="shared" ref="AR145:AR149" si="13">IF(OR($AR$139=0,$AR$140=2),0,IF($AH145&gt;$AR$139,1,0))</f>
        <v>0</v>
      </c>
      <c r="AS145" s="94">
        <f t="shared" si="10"/>
        <v>1</v>
      </c>
      <c r="AT145" s="94">
        <f t="shared" si="11"/>
        <v>1</v>
      </c>
    </row>
    <row r="146" spans="2:46" ht="14.55" customHeight="1" x14ac:dyDescent="0.3">
      <c r="C146" s="173">
        <f>Tables!$F$18</f>
        <v>6.17</v>
      </c>
      <c r="D146" s="173"/>
      <c r="G146" s="2" t="str">
        <f>Tables!$D$18</f>
        <v>(10-yr)</v>
      </c>
      <c r="I146" s="175"/>
      <c r="J146" s="175"/>
      <c r="K146" s="175"/>
      <c r="L146" s="117"/>
      <c r="M146" s="175"/>
      <c r="N146" s="175"/>
      <c r="O146" s="175"/>
      <c r="Q146" s="175"/>
      <c r="R146" s="175"/>
      <c r="S146" s="175"/>
      <c r="U146" s="175"/>
      <c r="V146" s="175"/>
      <c r="W146" s="175"/>
      <c r="Y146" s="175"/>
      <c r="Z146" s="175"/>
      <c r="AA146" s="175"/>
      <c r="AB146" s="175"/>
      <c r="AH146" s="227"/>
      <c r="AI146" s="227"/>
      <c r="AJ146" s="227"/>
      <c r="AK146" s="227"/>
      <c r="AM146" s="94">
        <f t="shared" si="8"/>
        <v>1</v>
      </c>
      <c r="AN146" s="94">
        <f t="shared" si="9"/>
        <v>1</v>
      </c>
      <c r="AO146" s="94">
        <f>IF(OR(ISBLANK(U146),ISBLANK(Y$103)),1,IF(U146&gt;Y$103,1,0))</f>
        <v>1</v>
      </c>
      <c r="AP146" s="165"/>
      <c r="AQ146" s="94">
        <f t="shared" si="12"/>
        <v>0</v>
      </c>
      <c r="AR146" s="94">
        <f t="shared" si="13"/>
        <v>0</v>
      </c>
      <c r="AS146" s="94">
        <f t="shared" si="10"/>
        <v>1</v>
      </c>
      <c r="AT146" s="94">
        <f t="shared" si="11"/>
        <v>1</v>
      </c>
    </row>
    <row r="147" spans="2:46" ht="14.55" customHeight="1" x14ac:dyDescent="0.3">
      <c r="C147" s="173">
        <f>Tables!$F$19</f>
        <v>7.55</v>
      </c>
      <c r="D147" s="173"/>
      <c r="G147" s="2" t="str">
        <f>Tables!$D$19</f>
        <v>(25-yr)</v>
      </c>
      <c r="I147" s="175"/>
      <c r="J147" s="175"/>
      <c r="K147" s="175"/>
      <c r="L147" s="117"/>
      <c r="M147" s="175"/>
      <c r="N147" s="175"/>
      <c r="O147" s="175"/>
      <c r="Q147" s="175"/>
      <c r="R147" s="175"/>
      <c r="S147" s="175"/>
      <c r="U147" s="175"/>
      <c r="V147" s="175"/>
      <c r="W147" s="175"/>
      <c r="Y147" s="175"/>
      <c r="Z147" s="175"/>
      <c r="AA147" s="175"/>
      <c r="AB147" s="175"/>
      <c r="AH147" s="227"/>
      <c r="AI147" s="227"/>
      <c r="AJ147" s="227"/>
      <c r="AK147" s="227"/>
      <c r="AM147" s="94">
        <f t="shared" si="8"/>
        <v>1</v>
      </c>
      <c r="AN147" s="94">
        <f t="shared" si="9"/>
        <v>1</v>
      </c>
      <c r="AO147" s="94">
        <f>IF(OR(ISBLANK(U147),ISBLANK(Y$103)),1,IF(U147&gt;Y$103,1,0))</f>
        <v>1</v>
      </c>
      <c r="AP147" s="165"/>
      <c r="AQ147" s="94">
        <f t="shared" si="12"/>
        <v>0</v>
      </c>
      <c r="AR147" s="94">
        <f t="shared" si="13"/>
        <v>0</v>
      </c>
      <c r="AS147" s="94">
        <f t="shared" si="10"/>
        <v>1</v>
      </c>
      <c r="AT147" s="94">
        <f t="shared" si="11"/>
        <v>1</v>
      </c>
    </row>
    <row r="148" spans="2:46" ht="14.55" customHeight="1" x14ac:dyDescent="0.3">
      <c r="C148" s="173">
        <f>Tables!$F$20</f>
        <v>8.6999999999999993</v>
      </c>
      <c r="D148" s="173"/>
      <c r="G148" s="2" t="str">
        <f>Tables!$D$20</f>
        <v>(50-yr)</v>
      </c>
      <c r="I148" s="175"/>
      <c r="J148" s="175"/>
      <c r="K148" s="175"/>
      <c r="L148" s="117"/>
      <c r="M148" s="175"/>
      <c r="N148" s="175"/>
      <c r="O148" s="175"/>
      <c r="Q148" s="175"/>
      <c r="R148" s="175"/>
      <c r="S148" s="175"/>
      <c r="U148" s="175"/>
      <c r="V148" s="175"/>
      <c r="W148" s="175"/>
      <c r="Y148" s="175"/>
      <c r="Z148" s="175"/>
      <c r="AA148" s="175"/>
      <c r="AB148" s="175"/>
      <c r="AH148" s="227"/>
      <c r="AI148" s="227"/>
      <c r="AJ148" s="227"/>
      <c r="AK148" s="227"/>
      <c r="AM148" s="94">
        <f t="shared" si="8"/>
        <v>1</v>
      </c>
      <c r="AN148" s="94">
        <f t="shared" si="9"/>
        <v>1</v>
      </c>
      <c r="AO148" s="94">
        <f>IF(OR(ISBLANK(U148),ISBLANK(Y$103)),1,IF(U148&gt;Y$103,1,0))</f>
        <v>1</v>
      </c>
      <c r="AP148" s="166"/>
      <c r="AQ148" s="94">
        <f t="shared" si="12"/>
        <v>0</v>
      </c>
      <c r="AR148" s="94">
        <f t="shared" si="13"/>
        <v>0</v>
      </c>
      <c r="AS148" s="94">
        <f t="shared" si="10"/>
        <v>1</v>
      </c>
      <c r="AT148" s="94">
        <f t="shared" si="11"/>
        <v>1</v>
      </c>
    </row>
    <row r="149" spans="2:46" ht="14.55" customHeight="1" x14ac:dyDescent="0.3">
      <c r="C149" s="173">
        <f>Tables!$F$21</f>
        <v>9.93</v>
      </c>
      <c r="D149" s="173"/>
      <c r="G149" s="2" t="str">
        <f>Tables!$D$21</f>
        <v>(100-yr)</v>
      </c>
      <c r="I149" s="175"/>
      <c r="J149" s="175"/>
      <c r="K149" s="175"/>
      <c r="L149" s="117"/>
      <c r="M149" s="175"/>
      <c r="N149" s="175"/>
      <c r="O149" s="175"/>
      <c r="Q149" s="175"/>
      <c r="R149" s="175"/>
      <c r="S149" s="175"/>
      <c r="U149" s="175"/>
      <c r="V149" s="175"/>
      <c r="W149" s="175"/>
      <c r="Y149" s="175"/>
      <c r="Z149" s="175"/>
      <c r="AA149" s="175"/>
      <c r="AB149" s="175"/>
      <c r="AD149" s="174"/>
      <c r="AE149" s="174"/>
      <c r="AF149" s="174"/>
      <c r="AH149" s="227"/>
      <c r="AI149" s="227"/>
      <c r="AJ149" s="227"/>
      <c r="AK149" s="227"/>
      <c r="AM149" s="94">
        <f t="shared" si="8"/>
        <v>1</v>
      </c>
      <c r="AN149" s="94">
        <f t="shared" si="9"/>
        <v>1</v>
      </c>
      <c r="AO149" s="98">
        <f>IF(OR(ISBLANK(U149),ISBLANK(AH$103)),0,AH$103-U149)</f>
        <v>0</v>
      </c>
      <c r="AP149" s="94">
        <f>IF(ISBLANK(AD149),1,IF(AD149&gt;$AQ$135,1,0))</f>
        <v>1</v>
      </c>
      <c r="AQ149" s="94">
        <f t="shared" si="12"/>
        <v>0</v>
      </c>
      <c r="AR149" s="94">
        <f t="shared" si="13"/>
        <v>0</v>
      </c>
      <c r="AS149" s="94">
        <f t="shared" si="10"/>
        <v>1</v>
      </c>
      <c r="AT149" s="94">
        <f t="shared" si="11"/>
        <v>1</v>
      </c>
    </row>
    <row r="150" spans="2:46" ht="4.95" customHeight="1" x14ac:dyDescent="0.3">
      <c r="L150" s="117"/>
      <c r="Q150" s="117"/>
      <c r="V150" s="117"/>
      <c r="AA150" s="117"/>
      <c r="AF150" s="117"/>
      <c r="AO150" s="22"/>
    </row>
    <row r="151" spans="2:46" ht="15" customHeight="1" x14ac:dyDescent="0.3">
      <c r="L151" s="117"/>
      <c r="Q151" s="117"/>
      <c r="V151" s="117"/>
      <c r="AA151" s="117"/>
      <c r="AF151" s="117"/>
      <c r="AM151" s="22" t="s">
        <v>140</v>
      </c>
      <c r="AN151" s="22" t="s">
        <v>141</v>
      </c>
      <c r="AO151" s="22" t="s">
        <v>73</v>
      </c>
      <c r="AP151" s="22" t="s">
        <v>261</v>
      </c>
      <c r="AQ151" s="22" t="s">
        <v>348</v>
      </c>
      <c r="AR151" s="22" t="s">
        <v>396</v>
      </c>
      <c r="AS151" s="22" t="s">
        <v>74</v>
      </c>
      <c r="AT151" s="22" t="s">
        <v>261</v>
      </c>
    </row>
    <row r="152" spans="2:46" ht="15" customHeight="1" x14ac:dyDescent="0.3">
      <c r="L152" s="117"/>
      <c r="Q152" s="117"/>
      <c r="V152" s="117"/>
      <c r="AA152" s="117"/>
      <c r="AF152" s="117"/>
      <c r="AM152" s="13" t="s">
        <v>243</v>
      </c>
      <c r="AN152" s="94">
        <f>IF(ISBLANK(AA99),1,2)</f>
        <v>1</v>
      </c>
      <c r="AP152" s="22" t="s">
        <v>408</v>
      </c>
      <c r="AT152" s="22" t="s">
        <v>407</v>
      </c>
    </row>
    <row r="153" spans="2:46" ht="15" customHeight="1" x14ac:dyDescent="0.3">
      <c r="B153" s="203">
        <f>Tables!$F$13</f>
        <v>46266</v>
      </c>
      <c r="C153" s="203"/>
      <c r="D153" s="203"/>
      <c r="E153" s="203"/>
      <c r="F153" s="203"/>
      <c r="G153" s="203"/>
      <c r="H153" s="203"/>
      <c r="R153" s="178" t="s">
        <v>298</v>
      </c>
      <c r="S153" s="178"/>
      <c r="T153" s="178"/>
      <c r="U153" s="178"/>
      <c r="AK153" s="33"/>
    </row>
    <row r="154" spans="2:46" ht="15" customHeight="1" x14ac:dyDescent="0.3">
      <c r="C154" s="2" t="s">
        <v>1</v>
      </c>
      <c r="D154" s="188">
        <f>IF(ISBLANK($E$7),"",$E$7)</f>
        <v>0</v>
      </c>
      <c r="E154" s="188"/>
      <c r="F154" s="188"/>
      <c r="G154" s="188"/>
      <c r="H154" s="188"/>
      <c r="I154" s="188"/>
      <c r="J154" s="188"/>
      <c r="K154" s="188"/>
      <c r="L154" s="188"/>
      <c r="M154" s="188"/>
      <c r="N154" s="188"/>
      <c r="O154" s="188"/>
      <c r="P154" s="188"/>
      <c r="Q154" s="188"/>
      <c r="R154" s="188"/>
      <c r="S154" s="188"/>
      <c r="T154" s="188"/>
      <c r="U154" s="188"/>
      <c r="V154" s="188"/>
      <c r="W154" s="188"/>
      <c r="X154" s="188"/>
      <c r="Y154" s="188"/>
      <c r="Z154" s="188"/>
      <c r="AA154" s="39"/>
      <c r="AB154" s="39"/>
      <c r="AC154" s="39"/>
      <c r="AF154" s="2" t="s">
        <v>19</v>
      </c>
      <c r="AG154" s="186">
        <f>$AF$7</f>
        <v>0</v>
      </c>
      <c r="AH154" s="186"/>
      <c r="AI154" s="186"/>
      <c r="AJ154" s="186"/>
      <c r="AK154" s="186"/>
    </row>
    <row r="155" spans="2:46" ht="15" customHeight="1" x14ac:dyDescent="0.3">
      <c r="H155" s="40"/>
      <c r="I155" s="40"/>
      <c r="J155" s="2"/>
      <c r="K155" s="2"/>
      <c r="L155" s="2"/>
      <c r="M155" s="40"/>
      <c r="N155" s="39"/>
      <c r="O155" s="39"/>
      <c r="P155" s="39"/>
      <c r="Q155" s="39"/>
      <c r="R155" s="39"/>
      <c r="S155" s="39"/>
      <c r="T155" s="39"/>
      <c r="U155" s="39"/>
      <c r="V155" s="39"/>
      <c r="W155" s="39"/>
      <c r="X155" s="39"/>
      <c r="Y155" s="39"/>
      <c r="Z155" s="39"/>
      <c r="AA155" s="39"/>
      <c r="AB155" s="39"/>
      <c r="AC155" s="39"/>
      <c r="AF155" s="2" t="s">
        <v>32</v>
      </c>
      <c r="AG155" s="187">
        <f>IF(ISBLANK($AF$8),"",$AF$8)</f>
        <v>0</v>
      </c>
      <c r="AH155" s="187"/>
      <c r="AI155" s="187"/>
      <c r="AJ155" s="187"/>
      <c r="AK155" s="187"/>
    </row>
    <row r="156" spans="2:46" ht="15" customHeight="1" x14ac:dyDescent="0.3">
      <c r="B156" s="5" t="s">
        <v>20</v>
      </c>
      <c r="C156" s="5"/>
      <c r="D156" s="5"/>
      <c r="E156" s="5"/>
      <c r="F156" s="5"/>
      <c r="G156" s="5"/>
    </row>
    <row r="157" spans="2:46" ht="15" customHeight="1" x14ac:dyDescent="0.3">
      <c r="B157" s="193"/>
      <c r="C157" s="194"/>
      <c r="D157" s="194"/>
      <c r="E157" s="194"/>
      <c r="F157" s="194"/>
      <c r="G157" s="194"/>
      <c r="H157" s="194"/>
      <c r="I157" s="194"/>
      <c r="J157" s="194"/>
      <c r="K157" s="194"/>
      <c r="L157" s="194"/>
      <c r="M157" s="194"/>
      <c r="N157" s="194"/>
      <c r="O157" s="194"/>
      <c r="P157" s="194"/>
      <c r="Q157" s="194"/>
      <c r="R157" s="194"/>
      <c r="S157" s="194"/>
      <c r="T157" s="194"/>
      <c r="U157" s="194"/>
      <c r="V157" s="194"/>
      <c r="W157" s="194"/>
      <c r="X157" s="194"/>
      <c r="Y157" s="194"/>
      <c r="Z157" s="194"/>
      <c r="AA157" s="194"/>
      <c r="AB157" s="194"/>
      <c r="AC157" s="194"/>
      <c r="AD157" s="194"/>
      <c r="AE157" s="194"/>
      <c r="AF157" s="194"/>
      <c r="AG157" s="194"/>
      <c r="AH157" s="194"/>
      <c r="AI157" s="194"/>
      <c r="AJ157" s="194"/>
      <c r="AK157" s="195"/>
    </row>
    <row r="158" spans="2:46" ht="15" customHeight="1" x14ac:dyDescent="0.3">
      <c r="B158" s="196"/>
      <c r="C158" s="197"/>
      <c r="D158" s="197"/>
      <c r="E158" s="197"/>
      <c r="F158" s="197"/>
      <c r="G158" s="197"/>
      <c r="H158" s="197"/>
      <c r="I158" s="197"/>
      <c r="J158" s="197"/>
      <c r="K158" s="197"/>
      <c r="L158" s="197"/>
      <c r="M158" s="197"/>
      <c r="N158" s="197"/>
      <c r="O158" s="197"/>
      <c r="P158" s="197"/>
      <c r="Q158" s="197"/>
      <c r="R158" s="197"/>
      <c r="S158" s="197"/>
      <c r="T158" s="197"/>
      <c r="U158" s="197"/>
      <c r="V158" s="197"/>
      <c r="W158" s="197"/>
      <c r="X158" s="197"/>
      <c r="Y158" s="197"/>
      <c r="Z158" s="197"/>
      <c r="AA158" s="197"/>
      <c r="AB158" s="197"/>
      <c r="AC158" s="197"/>
      <c r="AD158" s="197"/>
      <c r="AE158" s="197"/>
      <c r="AF158" s="197"/>
      <c r="AG158" s="197"/>
      <c r="AH158" s="197"/>
      <c r="AI158" s="197"/>
      <c r="AJ158" s="197"/>
      <c r="AK158" s="198"/>
    </row>
    <row r="159" spans="2:46" ht="15" customHeight="1" x14ac:dyDescent="0.3">
      <c r="B159" s="196"/>
      <c r="C159" s="197"/>
      <c r="D159" s="197"/>
      <c r="E159" s="197"/>
      <c r="F159" s="197"/>
      <c r="G159" s="197"/>
      <c r="H159" s="197"/>
      <c r="I159" s="197"/>
      <c r="J159" s="197"/>
      <c r="K159" s="197"/>
      <c r="L159" s="197"/>
      <c r="M159" s="197"/>
      <c r="N159" s="197"/>
      <c r="O159" s="197"/>
      <c r="P159" s="197"/>
      <c r="Q159" s="197"/>
      <c r="R159" s="197"/>
      <c r="S159" s="197"/>
      <c r="T159" s="197"/>
      <c r="U159" s="197"/>
      <c r="V159" s="197"/>
      <c r="W159" s="197"/>
      <c r="X159" s="197"/>
      <c r="Y159" s="197"/>
      <c r="Z159" s="197"/>
      <c r="AA159" s="197"/>
      <c r="AB159" s="197"/>
      <c r="AC159" s="197"/>
      <c r="AD159" s="197"/>
      <c r="AE159" s="197"/>
      <c r="AF159" s="197"/>
      <c r="AG159" s="197"/>
      <c r="AH159" s="197"/>
      <c r="AI159" s="197"/>
      <c r="AJ159" s="197"/>
      <c r="AK159" s="198"/>
    </row>
    <row r="160" spans="2:46" ht="15" customHeight="1" x14ac:dyDescent="0.3">
      <c r="B160" s="196"/>
      <c r="C160" s="197"/>
      <c r="D160" s="197"/>
      <c r="E160" s="197"/>
      <c r="F160" s="197"/>
      <c r="G160" s="197"/>
      <c r="H160" s="197"/>
      <c r="I160" s="197"/>
      <c r="J160" s="197"/>
      <c r="K160" s="197"/>
      <c r="L160" s="197"/>
      <c r="M160" s="197"/>
      <c r="N160" s="197"/>
      <c r="O160" s="197"/>
      <c r="P160" s="197"/>
      <c r="Q160" s="197"/>
      <c r="R160" s="197"/>
      <c r="S160" s="197"/>
      <c r="T160" s="197"/>
      <c r="U160" s="197"/>
      <c r="V160" s="197"/>
      <c r="W160" s="197"/>
      <c r="X160" s="197"/>
      <c r="Y160" s="197"/>
      <c r="Z160" s="197"/>
      <c r="AA160" s="197"/>
      <c r="AB160" s="197"/>
      <c r="AC160" s="197"/>
      <c r="AD160" s="197"/>
      <c r="AE160" s="197"/>
      <c r="AF160" s="197"/>
      <c r="AG160" s="197"/>
      <c r="AH160" s="197"/>
      <c r="AI160" s="197"/>
      <c r="AJ160" s="197"/>
      <c r="AK160" s="198"/>
    </row>
    <row r="161" spans="2:39" ht="15" customHeight="1" x14ac:dyDescent="0.3">
      <c r="B161" s="196"/>
      <c r="C161" s="197"/>
      <c r="D161" s="197"/>
      <c r="E161" s="197"/>
      <c r="F161" s="197"/>
      <c r="G161" s="197"/>
      <c r="H161" s="197"/>
      <c r="I161" s="197"/>
      <c r="J161" s="197"/>
      <c r="K161" s="197"/>
      <c r="L161" s="197"/>
      <c r="M161" s="197"/>
      <c r="N161" s="197"/>
      <c r="O161" s="197"/>
      <c r="P161" s="197"/>
      <c r="Q161" s="197"/>
      <c r="R161" s="197"/>
      <c r="S161" s="197"/>
      <c r="T161" s="197"/>
      <c r="U161" s="197"/>
      <c r="V161" s="197"/>
      <c r="W161" s="197"/>
      <c r="X161" s="197"/>
      <c r="Y161" s="197"/>
      <c r="Z161" s="197"/>
      <c r="AA161" s="197"/>
      <c r="AB161" s="197"/>
      <c r="AC161" s="197"/>
      <c r="AD161" s="197"/>
      <c r="AE161" s="197"/>
      <c r="AF161" s="197"/>
      <c r="AG161" s="197"/>
      <c r="AH161" s="197"/>
      <c r="AI161" s="197"/>
      <c r="AJ161" s="197"/>
      <c r="AK161" s="198"/>
    </row>
    <row r="162" spans="2:39" ht="15" customHeight="1" x14ac:dyDescent="0.3">
      <c r="B162" s="196"/>
      <c r="C162" s="197"/>
      <c r="D162" s="197"/>
      <c r="E162" s="197"/>
      <c r="F162" s="197"/>
      <c r="G162" s="197"/>
      <c r="H162" s="197"/>
      <c r="I162" s="197"/>
      <c r="J162" s="197"/>
      <c r="K162" s="197"/>
      <c r="L162" s="197"/>
      <c r="M162" s="197"/>
      <c r="N162" s="197"/>
      <c r="O162" s="197"/>
      <c r="P162" s="197"/>
      <c r="Q162" s="197"/>
      <c r="R162" s="197"/>
      <c r="S162" s="197"/>
      <c r="T162" s="197"/>
      <c r="U162" s="197"/>
      <c r="V162" s="197"/>
      <c r="W162" s="197"/>
      <c r="X162" s="197"/>
      <c r="Y162" s="197"/>
      <c r="Z162" s="197"/>
      <c r="AA162" s="197"/>
      <c r="AB162" s="197"/>
      <c r="AC162" s="197"/>
      <c r="AD162" s="197"/>
      <c r="AE162" s="197"/>
      <c r="AF162" s="197"/>
      <c r="AG162" s="197"/>
      <c r="AH162" s="197"/>
      <c r="AI162" s="197"/>
      <c r="AJ162" s="197"/>
      <c r="AK162" s="198"/>
    </row>
    <row r="163" spans="2:39" ht="15" customHeight="1" x14ac:dyDescent="0.3">
      <c r="B163" s="196"/>
      <c r="C163" s="197"/>
      <c r="D163" s="197"/>
      <c r="E163" s="197"/>
      <c r="F163" s="197"/>
      <c r="G163" s="197"/>
      <c r="H163" s="197"/>
      <c r="I163" s="197"/>
      <c r="J163" s="197"/>
      <c r="K163" s="197"/>
      <c r="L163" s="197"/>
      <c r="M163" s="197"/>
      <c r="N163" s="197"/>
      <c r="O163" s="197"/>
      <c r="P163" s="197"/>
      <c r="Q163" s="197"/>
      <c r="R163" s="197"/>
      <c r="S163" s="197"/>
      <c r="T163" s="197"/>
      <c r="U163" s="197"/>
      <c r="V163" s="197"/>
      <c r="W163" s="197"/>
      <c r="X163" s="197"/>
      <c r="Y163" s="197"/>
      <c r="Z163" s="197"/>
      <c r="AA163" s="197"/>
      <c r="AB163" s="197"/>
      <c r="AC163" s="197"/>
      <c r="AD163" s="197"/>
      <c r="AE163" s="197"/>
      <c r="AF163" s="197"/>
      <c r="AG163" s="197"/>
      <c r="AH163" s="197"/>
      <c r="AI163" s="197"/>
      <c r="AJ163" s="197"/>
      <c r="AK163" s="198"/>
    </row>
    <row r="164" spans="2:39" ht="15" customHeight="1" x14ac:dyDescent="0.3">
      <c r="B164" s="199"/>
      <c r="C164" s="200"/>
      <c r="D164" s="200"/>
      <c r="E164" s="200"/>
      <c r="F164" s="200"/>
      <c r="G164" s="200"/>
      <c r="H164" s="200"/>
      <c r="I164" s="200"/>
      <c r="J164" s="200"/>
      <c r="K164" s="200"/>
      <c r="L164" s="200"/>
      <c r="M164" s="200"/>
      <c r="N164" s="200"/>
      <c r="O164" s="200"/>
      <c r="P164" s="200"/>
      <c r="Q164" s="200"/>
      <c r="R164" s="200"/>
      <c r="S164" s="200"/>
      <c r="T164" s="200"/>
      <c r="U164" s="200"/>
      <c r="V164" s="200"/>
      <c r="W164" s="200"/>
      <c r="X164" s="200"/>
      <c r="Y164" s="200"/>
      <c r="Z164" s="200"/>
      <c r="AA164" s="200"/>
      <c r="AB164" s="200"/>
      <c r="AC164" s="200"/>
      <c r="AD164" s="200"/>
      <c r="AE164" s="200"/>
      <c r="AF164" s="200"/>
      <c r="AG164" s="200"/>
      <c r="AH164" s="200"/>
      <c r="AI164" s="200"/>
      <c r="AJ164" s="200"/>
      <c r="AK164" s="201"/>
    </row>
    <row r="165" spans="2:39" ht="4.95" customHeight="1" x14ac:dyDescent="0.3">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row>
    <row r="166" spans="2:39" ht="15" customHeight="1" x14ac:dyDescent="0.3">
      <c r="B166" s="1" t="s">
        <v>122</v>
      </c>
      <c r="C166" s="1"/>
      <c r="D166" s="1"/>
      <c r="E166" s="1"/>
      <c r="F166" s="1"/>
      <c r="G166" s="1"/>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row>
    <row r="167" spans="2:39" ht="15" customHeight="1" x14ac:dyDescent="0.3">
      <c r="C167" s="2"/>
      <c r="E167" s="2" t="s">
        <v>167</v>
      </c>
      <c r="F167" s="206"/>
      <c r="G167" s="206"/>
      <c r="H167" s="206"/>
      <c r="I167" s="206"/>
      <c r="J167" s="206"/>
      <c r="K167" s="206"/>
      <c r="L167" s="206"/>
      <c r="M167" s="206"/>
      <c r="N167" s="206"/>
      <c r="O167" s="206"/>
      <c r="P167" s="206"/>
      <c r="Q167" s="206"/>
      <c r="R167" s="206"/>
      <c r="S167" s="206"/>
      <c r="T167" s="206"/>
      <c r="U167" s="206"/>
      <c r="V167" s="206"/>
    </row>
    <row r="168" spans="2:39" ht="15" customHeight="1" x14ac:dyDescent="0.3">
      <c r="C168" s="2"/>
      <c r="E168" s="2" t="s">
        <v>125</v>
      </c>
      <c r="F168" s="202"/>
      <c r="G168" s="202"/>
      <c r="H168" s="202"/>
      <c r="I168" s="202"/>
      <c r="J168" s="202"/>
      <c r="K168" s="202"/>
      <c r="L168" s="202"/>
      <c r="M168" s="202"/>
      <c r="N168" s="202"/>
      <c r="O168" s="202"/>
      <c r="P168" s="202"/>
      <c r="Q168" s="202"/>
      <c r="R168" s="202"/>
      <c r="S168" s="202"/>
      <c r="T168" s="202"/>
      <c r="U168" s="202"/>
      <c r="V168" s="202"/>
      <c r="W168" s="4"/>
      <c r="X168" s="4"/>
      <c r="Y168" s="4"/>
      <c r="Z168" s="4"/>
      <c r="AA168" s="4"/>
      <c r="AB168" s="4"/>
      <c r="AC168" s="4"/>
      <c r="AD168" s="4"/>
      <c r="AE168" s="4"/>
      <c r="AF168" s="4"/>
      <c r="AG168" s="4"/>
      <c r="AH168" s="4"/>
      <c r="AI168" s="4"/>
      <c r="AJ168" s="4"/>
      <c r="AK168" s="4"/>
    </row>
    <row r="169" spans="2:39" ht="15" customHeight="1" x14ac:dyDescent="0.3">
      <c r="C169" s="2"/>
      <c r="E169" s="2" t="s">
        <v>304</v>
      </c>
      <c r="F169" s="202"/>
      <c r="G169" s="202"/>
      <c r="H169" s="202"/>
      <c r="I169" s="202"/>
      <c r="J169" s="202"/>
      <c r="K169" s="202"/>
      <c r="L169" s="202"/>
      <c r="M169" s="202"/>
      <c r="N169" s="202"/>
      <c r="O169" s="202"/>
      <c r="P169" s="202"/>
      <c r="Q169" s="202"/>
      <c r="R169" s="202"/>
      <c r="S169" s="202"/>
      <c r="T169" s="202"/>
      <c r="U169" s="202"/>
      <c r="V169" s="202"/>
      <c r="X169" s="2"/>
      <c r="Y169" s="2" t="s">
        <v>128</v>
      </c>
      <c r="Z169" s="209"/>
      <c r="AA169" s="209"/>
      <c r="AB169" s="209"/>
      <c r="AC169" s="209"/>
      <c r="AF169" s="2"/>
      <c r="AG169" s="2" t="s">
        <v>129</v>
      </c>
      <c r="AH169" s="209"/>
      <c r="AI169" s="209"/>
      <c r="AJ169" s="209"/>
      <c r="AK169" s="209"/>
    </row>
    <row r="170" spans="2:39" ht="15" customHeight="1" x14ac:dyDescent="0.3">
      <c r="C170" s="2"/>
      <c r="E170" s="2" t="s">
        <v>305</v>
      </c>
      <c r="F170" s="202"/>
      <c r="G170" s="202"/>
      <c r="H170" s="202"/>
      <c r="I170" s="202"/>
      <c r="J170" s="202"/>
      <c r="K170" s="202"/>
      <c r="L170" s="202"/>
      <c r="M170" s="202"/>
      <c r="N170" s="202"/>
      <c r="O170" s="202"/>
      <c r="P170" s="202"/>
      <c r="Q170" s="202"/>
      <c r="R170" s="202"/>
      <c r="S170" s="202"/>
      <c r="T170" s="202"/>
      <c r="U170" s="202"/>
      <c r="V170" s="202"/>
      <c r="X170" s="2"/>
      <c r="Y170" s="2" t="s">
        <v>131</v>
      </c>
      <c r="Z170" s="206"/>
      <c r="AA170" s="206"/>
      <c r="AB170" s="206"/>
      <c r="AC170" s="206"/>
      <c r="AD170" s="206"/>
      <c r="AE170" s="206"/>
      <c r="AF170" s="206"/>
      <c r="AG170" s="206"/>
      <c r="AH170" s="206"/>
      <c r="AI170" s="206"/>
      <c r="AJ170" s="206"/>
      <c r="AK170" s="206"/>
    </row>
    <row r="171" spans="2:39" ht="15" customHeight="1" x14ac:dyDescent="0.3">
      <c r="C171" s="2"/>
      <c r="E171" s="2" t="s">
        <v>126</v>
      </c>
      <c r="F171" s="240"/>
      <c r="G171" s="240"/>
      <c r="H171" s="240"/>
      <c r="I171" s="240"/>
      <c r="J171" s="240"/>
      <c r="K171" s="240"/>
      <c r="L171" s="240"/>
      <c r="M171" s="240"/>
      <c r="N171" s="240"/>
      <c r="O171" s="240"/>
      <c r="P171" s="240"/>
      <c r="Q171" s="240"/>
      <c r="R171" s="240"/>
      <c r="S171" s="240"/>
      <c r="T171" s="240"/>
      <c r="U171" s="240"/>
      <c r="V171" s="240"/>
      <c r="X171" s="12"/>
      <c r="Y171" s="12"/>
      <c r="Z171" s="12"/>
      <c r="AA171" s="12"/>
      <c r="AB171" s="12"/>
      <c r="AC171" s="12"/>
      <c r="AF171" s="2" t="s">
        <v>130</v>
      </c>
      <c r="AG171" s="250"/>
      <c r="AH171" s="250"/>
      <c r="AI171" s="250"/>
      <c r="AJ171" s="250"/>
      <c r="AK171" s="250"/>
    </row>
    <row r="172" spans="2:39" ht="4.95" customHeight="1" x14ac:dyDescent="0.3">
      <c r="B172" s="2"/>
      <c r="C172" s="2"/>
      <c r="D172" s="2"/>
      <c r="E172" s="2"/>
      <c r="F172" s="2"/>
      <c r="G172" s="2"/>
      <c r="H172" s="42"/>
      <c r="I172" s="42"/>
      <c r="J172" s="42"/>
      <c r="K172" s="42"/>
      <c r="L172" s="42"/>
      <c r="M172" s="42"/>
      <c r="N172" s="42"/>
      <c r="O172" s="42"/>
      <c r="P172" s="42"/>
      <c r="Q172" s="42"/>
      <c r="R172" s="42"/>
      <c r="S172" s="42"/>
      <c r="T172" s="42"/>
      <c r="U172" s="42"/>
      <c r="V172" s="42"/>
      <c r="X172" s="4"/>
      <c r="Y172" s="4"/>
      <c r="Z172" s="4"/>
      <c r="AA172" s="4"/>
      <c r="AB172" s="4"/>
      <c r="AC172" s="4"/>
      <c r="AD172" s="2"/>
      <c r="AE172" s="4"/>
      <c r="AF172" s="4"/>
      <c r="AG172" s="4"/>
      <c r="AH172" s="4"/>
      <c r="AI172" s="4"/>
      <c r="AJ172" s="4"/>
      <c r="AK172" s="4"/>
    </row>
    <row r="173" spans="2:39" ht="15" customHeight="1" x14ac:dyDescent="0.3">
      <c r="B173" s="1" t="s">
        <v>265</v>
      </c>
      <c r="C173" s="1"/>
      <c r="D173" s="1"/>
      <c r="E173" s="1"/>
      <c r="F173" s="1"/>
      <c r="G173" s="1"/>
      <c r="H173" s="4"/>
      <c r="I173" s="4"/>
      <c r="J173" s="4"/>
      <c r="K173" s="4"/>
      <c r="L173" s="4"/>
      <c r="M173" s="4"/>
      <c r="N173" s="4"/>
      <c r="O173" s="4"/>
      <c r="P173" s="4"/>
      <c r="Q173" s="4"/>
      <c r="R173" s="4"/>
      <c r="S173" s="4"/>
      <c r="T173" s="4"/>
      <c r="U173" s="4"/>
      <c r="V173" s="4"/>
      <c r="X173" s="4"/>
      <c r="Z173" s="161"/>
      <c r="AA173" s="28" t="s">
        <v>123</v>
      </c>
      <c r="AB173" s="4"/>
      <c r="AC173" s="4"/>
      <c r="AH173" s="4"/>
      <c r="AI173" s="4"/>
      <c r="AJ173" s="4"/>
      <c r="AK173" s="4"/>
      <c r="AM173" s="94">
        <f>IF(ISBLANK(Z173),1,2)</f>
        <v>1</v>
      </c>
    </row>
    <row r="174" spans="2:39" ht="15" customHeight="1" x14ac:dyDescent="0.3">
      <c r="C174" s="2"/>
      <c r="E174" s="2" t="s">
        <v>127</v>
      </c>
      <c r="F174" s="206"/>
      <c r="G174" s="206"/>
      <c r="H174" s="206"/>
      <c r="I174" s="206"/>
      <c r="J174" s="206"/>
      <c r="K174" s="206"/>
      <c r="L174" s="206"/>
      <c r="M174" s="206"/>
      <c r="N174" s="206"/>
      <c r="O174" s="206"/>
      <c r="P174" s="206"/>
      <c r="Q174" s="206"/>
      <c r="R174" s="206"/>
      <c r="S174" s="206"/>
      <c r="T174" s="206"/>
      <c r="U174" s="206"/>
      <c r="V174" s="206"/>
    </row>
    <row r="175" spans="2:39" ht="15" customHeight="1" x14ac:dyDescent="0.3">
      <c r="C175" s="2"/>
      <c r="E175" s="2" t="s">
        <v>125</v>
      </c>
      <c r="F175" s="202"/>
      <c r="G175" s="202"/>
      <c r="H175" s="202"/>
      <c r="I175" s="202"/>
      <c r="J175" s="202"/>
      <c r="K175" s="202"/>
      <c r="L175" s="202"/>
      <c r="M175" s="202"/>
      <c r="N175" s="202"/>
      <c r="O175" s="202"/>
      <c r="P175" s="202"/>
      <c r="Q175" s="202"/>
      <c r="R175" s="202"/>
      <c r="S175" s="202"/>
      <c r="T175" s="202"/>
      <c r="U175" s="202"/>
      <c r="V175" s="202"/>
      <c r="AE175" s="4"/>
      <c r="AF175" s="4"/>
      <c r="AG175" s="4"/>
      <c r="AH175" s="4"/>
      <c r="AI175" s="4"/>
      <c r="AJ175" s="4"/>
      <c r="AK175" s="4"/>
    </row>
    <row r="176" spans="2:39" ht="15" customHeight="1" x14ac:dyDescent="0.3">
      <c r="C176" s="2"/>
      <c r="E176" s="2" t="s">
        <v>280</v>
      </c>
      <c r="F176" s="202"/>
      <c r="G176" s="202"/>
      <c r="H176" s="202"/>
      <c r="I176" s="202"/>
      <c r="J176" s="202"/>
      <c r="K176" s="202"/>
      <c r="L176" s="202"/>
      <c r="M176" s="202"/>
      <c r="N176" s="202"/>
      <c r="O176" s="202"/>
      <c r="P176" s="202"/>
      <c r="Q176" s="202"/>
      <c r="R176" s="202"/>
      <c r="S176" s="202"/>
      <c r="T176" s="202"/>
      <c r="U176" s="202"/>
      <c r="V176" s="202"/>
      <c r="X176" s="2"/>
      <c r="Y176" s="2" t="s">
        <v>128</v>
      </c>
      <c r="Z176" s="209"/>
      <c r="AA176" s="209"/>
      <c r="AB176" s="209"/>
      <c r="AC176" s="209"/>
      <c r="AF176" s="2"/>
      <c r="AG176" s="2" t="s">
        <v>129</v>
      </c>
      <c r="AH176" s="209"/>
      <c r="AI176" s="209"/>
      <c r="AJ176" s="209"/>
      <c r="AK176" s="209"/>
    </row>
    <row r="177" spans="2:43" ht="15" customHeight="1" x14ac:dyDescent="0.3">
      <c r="C177" s="2"/>
      <c r="E177" s="2" t="s">
        <v>305</v>
      </c>
      <c r="F177" s="206"/>
      <c r="G177" s="206"/>
      <c r="H177" s="206"/>
      <c r="I177" s="206"/>
      <c r="J177" s="206"/>
      <c r="K177" s="206"/>
      <c r="L177" s="206"/>
      <c r="M177" s="206"/>
      <c r="N177" s="206"/>
      <c r="O177" s="206"/>
      <c r="P177" s="206"/>
      <c r="Q177" s="206"/>
      <c r="R177" s="206"/>
      <c r="S177" s="206"/>
      <c r="T177" s="206"/>
      <c r="U177" s="206"/>
      <c r="V177" s="206"/>
      <c r="W177" s="4"/>
      <c r="X177" s="4"/>
      <c r="Y177" s="2" t="s">
        <v>131</v>
      </c>
      <c r="Z177" s="206"/>
      <c r="AA177" s="206"/>
      <c r="AB177" s="206"/>
      <c r="AC177" s="206"/>
      <c r="AD177" s="206"/>
      <c r="AE177" s="206"/>
      <c r="AF177" s="206"/>
      <c r="AG177" s="206"/>
      <c r="AH177" s="206"/>
      <c r="AI177" s="206"/>
      <c r="AJ177" s="206"/>
      <c r="AK177" s="206"/>
    </row>
    <row r="178" spans="2:43" ht="15" customHeight="1" x14ac:dyDescent="0.3">
      <c r="C178" s="2"/>
      <c r="E178" s="2" t="s">
        <v>126</v>
      </c>
      <c r="F178" s="240"/>
      <c r="G178" s="240"/>
      <c r="H178" s="240"/>
      <c r="I178" s="240"/>
      <c r="J178" s="240"/>
      <c r="K178" s="240"/>
      <c r="L178" s="240"/>
      <c r="M178" s="240"/>
      <c r="N178" s="240"/>
      <c r="O178" s="240"/>
      <c r="P178" s="240"/>
      <c r="Q178" s="240"/>
      <c r="R178" s="240"/>
      <c r="S178" s="240"/>
      <c r="T178" s="240"/>
      <c r="U178" s="240"/>
      <c r="V178" s="240"/>
      <c r="AF178" s="2" t="s">
        <v>130</v>
      </c>
      <c r="AG178" s="250"/>
      <c r="AH178" s="250"/>
      <c r="AI178" s="250"/>
      <c r="AJ178" s="250"/>
      <c r="AK178" s="250"/>
    </row>
    <row r="179" spans="2:43" ht="15" customHeight="1" x14ac:dyDescent="0.3">
      <c r="C179" s="2"/>
    </row>
    <row r="180" spans="2:43" ht="15" customHeight="1" x14ac:dyDescent="0.3">
      <c r="B180" s="1" t="s">
        <v>350</v>
      </c>
      <c r="F180" s="40"/>
      <c r="G180" s="40"/>
      <c r="H180" s="28" t="s">
        <v>375</v>
      </c>
      <c r="I180" s="40"/>
      <c r="J180" s="40"/>
      <c r="K180" s="2"/>
      <c r="L180" s="2"/>
      <c r="M180" s="2"/>
      <c r="N180" s="2"/>
      <c r="O180" s="40"/>
      <c r="P180" s="39"/>
      <c r="Q180" s="39"/>
      <c r="R180" s="39"/>
      <c r="S180" s="39"/>
      <c r="T180" s="39"/>
      <c r="U180" s="39"/>
      <c r="V180" s="39"/>
      <c r="W180" s="39"/>
      <c r="X180" s="39"/>
      <c r="Y180" s="39"/>
      <c r="Z180" s="39"/>
      <c r="AA180" s="39"/>
      <c r="AB180" s="39"/>
      <c r="AC180" s="39"/>
      <c r="AD180" s="39"/>
      <c r="AE180" s="39"/>
      <c r="AF180" s="39"/>
      <c r="AG180" s="39"/>
      <c r="AH180" s="39"/>
      <c r="AI180" s="39"/>
      <c r="AJ180" s="39"/>
      <c r="AK180" s="39"/>
    </row>
    <row r="181" spans="2:43" ht="15" customHeight="1" x14ac:dyDescent="0.3">
      <c r="C181" s="4" t="s">
        <v>561</v>
      </c>
      <c r="E181" s="28" t="s">
        <v>151</v>
      </c>
      <c r="G181" s="28" t="s">
        <v>133</v>
      </c>
      <c r="AM181" s="94">
        <f>SUM(AM185,AM187,AM189,AM191,AM193,AM195,AM197,AM199,AM201,AM203)</f>
        <v>10</v>
      </c>
      <c r="AN181" s="22"/>
      <c r="AO181" s="22"/>
      <c r="AQ181" s="94">
        <f>SUM(AQ185,AQ187,AQ189,AQ191,AQ193,AQ195,AQ197,AQ199,AQ201,AQ203)</f>
        <v>0</v>
      </c>
    </row>
    <row r="182" spans="2:43" ht="4.95" customHeight="1" x14ac:dyDescent="0.3">
      <c r="AM182" s="22"/>
      <c r="AN182" s="22"/>
      <c r="AO182" s="22"/>
    </row>
    <row r="183" spans="2:43" ht="15" customHeight="1" x14ac:dyDescent="0.3">
      <c r="E183" s="161"/>
      <c r="G183" s="161"/>
      <c r="I183" s="28" t="s">
        <v>368</v>
      </c>
      <c r="Z183" s="28" t="s">
        <v>301</v>
      </c>
      <c r="AE183" s="28" t="s">
        <v>302</v>
      </c>
      <c r="AM183" s="94">
        <f>IF(AND(ISBLANK(E183),ISBLANK(G183)),1,2)</f>
        <v>1</v>
      </c>
      <c r="AN183" s="94">
        <f>IF(ISBLANK(G183),1,2)</f>
        <v>1</v>
      </c>
      <c r="AO183" s="165"/>
      <c r="AP183" s="94">
        <f>IF(ISBLANK(E183),1,2)</f>
        <v>1</v>
      </c>
      <c r="AQ183" s="94">
        <f>IF(ISBLANK(G183),0,1)</f>
        <v>0</v>
      </c>
    </row>
    <row r="184" spans="2:43" ht="4.95" customHeight="1" x14ac:dyDescent="0.3">
      <c r="AM184" s="22"/>
      <c r="AN184" s="22"/>
      <c r="AO184" s="22"/>
    </row>
    <row r="185" spans="2:43" ht="15" customHeight="1" x14ac:dyDescent="0.3">
      <c r="E185" s="161"/>
      <c r="G185" s="161"/>
      <c r="I185" s="28" t="s">
        <v>563</v>
      </c>
      <c r="AA185" s="209"/>
      <c r="AB185" s="209"/>
      <c r="AE185" s="260"/>
      <c r="AF185" s="260"/>
      <c r="AG185" s="260"/>
      <c r="AH185" s="260"/>
      <c r="AI185" s="260"/>
      <c r="AJ185" s="260"/>
      <c r="AK185" s="260"/>
      <c r="AM185" s="94">
        <f>IF(AND(ISBLANK(E185),ISBLANK(G185)),1,2)</f>
        <v>1</v>
      </c>
      <c r="AN185" s="94">
        <f>IF(ISBLANK(G185),1,2)</f>
        <v>1</v>
      </c>
      <c r="AO185" s="165"/>
      <c r="AP185" s="94">
        <f>IF(ISBLANK(E185),1,2)</f>
        <v>1</v>
      </c>
      <c r="AQ185" s="94">
        <f>IF(ISBLANK(G185),0,1)</f>
        <v>0</v>
      </c>
    </row>
    <row r="186" spans="2:43" ht="4.95" customHeight="1" x14ac:dyDescent="0.3">
      <c r="AM186" s="22"/>
      <c r="AN186" s="22"/>
      <c r="AO186" s="22"/>
    </row>
    <row r="187" spans="2:43" ht="15" customHeight="1" x14ac:dyDescent="0.3">
      <c r="C187" s="161"/>
      <c r="E187" s="161"/>
      <c r="G187" s="161"/>
      <c r="I187" s="28" t="s">
        <v>562</v>
      </c>
      <c r="AA187" s="209"/>
      <c r="AB187" s="209"/>
      <c r="AE187" s="260"/>
      <c r="AF187" s="260"/>
      <c r="AG187" s="260"/>
      <c r="AH187" s="260"/>
      <c r="AI187" s="260"/>
      <c r="AJ187" s="260"/>
      <c r="AK187" s="260"/>
      <c r="AM187" s="94">
        <f>IF(AND(ISBLANK(C187),ISBLANK(E187),ISBLANK(G187)),1,2)</f>
        <v>1</v>
      </c>
      <c r="AN187" s="94">
        <f>IF(ISBLANK(G187),1,2)</f>
        <v>1</v>
      </c>
      <c r="AO187" s="94">
        <f>IF(ISBLANK(C187),1,2)</f>
        <v>1</v>
      </c>
      <c r="AP187" s="94">
        <f>IF(ISBLANK(E187),1,2)</f>
        <v>1</v>
      </c>
      <c r="AQ187" s="94">
        <f>IF(ISBLANK(G187),0,1)</f>
        <v>0</v>
      </c>
    </row>
    <row r="188" spans="2:43" ht="4.95" customHeight="1" x14ac:dyDescent="0.3">
      <c r="AM188" s="22"/>
      <c r="AN188" s="22"/>
      <c r="AO188" s="22"/>
    </row>
    <row r="189" spans="2:43" ht="15" customHeight="1" x14ac:dyDescent="0.3">
      <c r="C189" s="161"/>
      <c r="E189" s="161"/>
      <c r="G189" s="161"/>
      <c r="I189" s="28" t="s">
        <v>369</v>
      </c>
      <c r="AA189" s="209"/>
      <c r="AB189" s="209"/>
      <c r="AE189" s="260"/>
      <c r="AF189" s="260"/>
      <c r="AG189" s="260"/>
      <c r="AH189" s="260"/>
      <c r="AI189" s="260"/>
      <c r="AJ189" s="260"/>
      <c r="AK189" s="260"/>
      <c r="AM189" s="94">
        <f>IF(AND(ISBLANK(C189),ISBLANK(E189),ISBLANK(G189)),1,2)</f>
        <v>1</v>
      </c>
      <c r="AN189" s="94">
        <f>IF(ISBLANK(G189),1,2)</f>
        <v>1</v>
      </c>
      <c r="AO189" s="94">
        <f>IF(ISBLANK(C189),1,2)</f>
        <v>1</v>
      </c>
      <c r="AP189" s="94">
        <f>IF(ISBLANK(E189),1,2)</f>
        <v>1</v>
      </c>
      <c r="AQ189" s="94">
        <f>IF(ISBLANK(G189),0,1)</f>
        <v>0</v>
      </c>
    </row>
    <row r="190" spans="2:43" ht="4.95" customHeight="1" x14ac:dyDescent="0.3">
      <c r="AM190" s="22"/>
      <c r="AN190" s="22"/>
      <c r="AO190" s="22"/>
    </row>
    <row r="191" spans="2:43" ht="15" customHeight="1" x14ac:dyDescent="0.3">
      <c r="C191" s="161"/>
      <c r="E191" s="161"/>
      <c r="G191" s="161"/>
      <c r="I191" s="28" t="s">
        <v>370</v>
      </c>
      <c r="AA191" s="209"/>
      <c r="AB191" s="209"/>
      <c r="AE191" s="260"/>
      <c r="AF191" s="260"/>
      <c r="AG191" s="260"/>
      <c r="AH191" s="260"/>
      <c r="AI191" s="260"/>
      <c r="AJ191" s="260"/>
      <c r="AK191" s="260"/>
      <c r="AM191" s="94">
        <f>IF(AND(ISBLANK(C191),ISBLANK(E191),ISBLANK(G191)),1,2)</f>
        <v>1</v>
      </c>
      <c r="AN191" s="94">
        <f>IF(ISBLANK(G191),1,2)</f>
        <v>1</v>
      </c>
      <c r="AO191" s="94">
        <f>IF(ISBLANK(C191),1,2)</f>
        <v>1</v>
      </c>
      <c r="AP191" s="94">
        <f>IF(ISBLANK(E191),1,2)</f>
        <v>1</v>
      </c>
      <c r="AQ191" s="94">
        <f>IF(ISBLANK(G191),0,1)</f>
        <v>0</v>
      </c>
    </row>
    <row r="192" spans="2:43" ht="4.95" customHeight="1" x14ac:dyDescent="0.3">
      <c r="E192" s="40"/>
      <c r="G192" s="2"/>
      <c r="J192" s="40"/>
      <c r="K192" s="39"/>
      <c r="L192" s="39"/>
      <c r="M192" s="39"/>
      <c r="N192" s="39"/>
      <c r="O192" s="39"/>
      <c r="Z192" s="39"/>
      <c r="AA192" s="39"/>
      <c r="AB192" s="39"/>
      <c r="AC192" s="39"/>
      <c r="AD192" s="39"/>
      <c r="AE192" s="39"/>
      <c r="AF192" s="39"/>
      <c r="AG192" s="39"/>
      <c r="AH192" s="39"/>
      <c r="AI192" s="39"/>
      <c r="AJ192" s="39"/>
      <c r="AK192" s="39"/>
    </row>
    <row r="193" spans="2:43" ht="15" customHeight="1" x14ac:dyDescent="0.3">
      <c r="C193" s="161"/>
      <c r="E193" s="161"/>
      <c r="G193" s="161"/>
      <c r="I193" s="28" t="s">
        <v>371</v>
      </c>
      <c r="AA193" s="209"/>
      <c r="AB193" s="209"/>
      <c r="AE193" s="260"/>
      <c r="AF193" s="260"/>
      <c r="AG193" s="260"/>
      <c r="AH193" s="260"/>
      <c r="AI193" s="260"/>
      <c r="AJ193" s="260"/>
      <c r="AK193" s="260"/>
      <c r="AM193" s="94">
        <f>IF(AND(ISBLANK(C193),ISBLANK(E193),ISBLANK(G193)),1,2)</f>
        <v>1</v>
      </c>
      <c r="AN193" s="94">
        <f>IF(ISBLANK(G193),1,2)</f>
        <v>1</v>
      </c>
      <c r="AO193" s="94">
        <f>IF(ISBLANK(C193),1,2)</f>
        <v>1</v>
      </c>
      <c r="AP193" s="94">
        <f>IF(ISBLANK(E193),1,2)</f>
        <v>1</v>
      </c>
      <c r="AQ193" s="94">
        <f>IF(ISBLANK(G193),0,1)</f>
        <v>0</v>
      </c>
    </row>
    <row r="194" spans="2:43" ht="4.95" customHeight="1" x14ac:dyDescent="0.3">
      <c r="J194" s="2"/>
      <c r="K194" s="2"/>
      <c r="L194" s="2"/>
      <c r="M194" s="40"/>
      <c r="N194" s="39"/>
      <c r="O194" s="39"/>
      <c r="Z194" s="39"/>
      <c r="AA194" s="39"/>
      <c r="AB194" s="39"/>
      <c r="AC194" s="39"/>
      <c r="AD194" s="39"/>
      <c r="AE194" s="39"/>
      <c r="AF194" s="39"/>
      <c r="AG194" s="39"/>
      <c r="AH194" s="39"/>
      <c r="AI194" s="39"/>
      <c r="AJ194" s="39"/>
      <c r="AK194" s="39"/>
    </row>
    <row r="195" spans="2:43" ht="15" customHeight="1" x14ac:dyDescent="0.3">
      <c r="C195" s="161"/>
      <c r="E195" s="161"/>
      <c r="G195" s="161"/>
      <c r="I195" s="28" t="s">
        <v>372</v>
      </c>
      <c r="J195" s="2"/>
      <c r="K195" s="2"/>
      <c r="L195" s="2"/>
      <c r="M195" s="40"/>
      <c r="N195" s="39"/>
      <c r="O195" s="39"/>
      <c r="Z195" s="39"/>
      <c r="AA195" s="209"/>
      <c r="AB195" s="209"/>
      <c r="AE195" s="260"/>
      <c r="AF195" s="260"/>
      <c r="AG195" s="260"/>
      <c r="AH195" s="260"/>
      <c r="AI195" s="260"/>
      <c r="AJ195" s="260"/>
      <c r="AK195" s="260"/>
      <c r="AM195" s="94">
        <f>IF(AND(ISBLANK(C195),ISBLANK(E195),ISBLANK(G195)),1,2)</f>
        <v>1</v>
      </c>
      <c r="AN195" s="94">
        <f>IF(ISBLANK(G195),1,2)</f>
        <v>1</v>
      </c>
      <c r="AO195" s="94">
        <f>IF(ISBLANK(C195),1,2)</f>
        <v>1</v>
      </c>
      <c r="AP195" s="94">
        <f>IF(ISBLANK(E195),1,2)</f>
        <v>1</v>
      </c>
      <c r="AQ195" s="94">
        <f>IF(ISBLANK(G195),0,1)</f>
        <v>0</v>
      </c>
    </row>
    <row r="196" spans="2:43" ht="4.95" customHeight="1" x14ac:dyDescent="0.3">
      <c r="J196" s="2"/>
      <c r="K196" s="2"/>
      <c r="L196" s="2"/>
      <c r="M196" s="40"/>
      <c r="N196" s="39"/>
      <c r="O196" s="39"/>
      <c r="Z196" s="39"/>
      <c r="AA196" s="39"/>
      <c r="AB196" s="39"/>
      <c r="AC196" s="39"/>
      <c r="AD196" s="39"/>
      <c r="AE196" s="39"/>
      <c r="AF196" s="39"/>
      <c r="AG196" s="39"/>
      <c r="AH196" s="39"/>
      <c r="AI196" s="39"/>
      <c r="AJ196" s="39"/>
      <c r="AK196" s="39"/>
    </row>
    <row r="197" spans="2:43" ht="15" customHeight="1" x14ac:dyDescent="0.3">
      <c r="C197" s="161"/>
      <c r="E197" s="161"/>
      <c r="G197" s="161"/>
      <c r="I197" s="28" t="s">
        <v>373</v>
      </c>
      <c r="J197" s="2"/>
      <c r="K197" s="2"/>
      <c r="L197" s="2"/>
      <c r="M197" s="40"/>
      <c r="N197" s="39"/>
      <c r="O197" s="39"/>
      <c r="Z197" s="39"/>
      <c r="AA197" s="209"/>
      <c r="AB197" s="209"/>
      <c r="AE197" s="260"/>
      <c r="AF197" s="260"/>
      <c r="AG197" s="260"/>
      <c r="AH197" s="260"/>
      <c r="AI197" s="260"/>
      <c r="AJ197" s="260"/>
      <c r="AK197" s="260"/>
      <c r="AM197" s="94">
        <f>IF(AND(ISBLANK(C197),ISBLANK(E197),ISBLANK(G197)),1,2)</f>
        <v>1</v>
      </c>
      <c r="AN197" s="94">
        <f>IF(ISBLANK(G197),1,2)</f>
        <v>1</v>
      </c>
      <c r="AO197" s="94">
        <f>IF(ISBLANK(C197),1,2)</f>
        <v>1</v>
      </c>
      <c r="AP197" s="94">
        <f>IF(ISBLANK(E197),1,2)</f>
        <v>1</v>
      </c>
      <c r="AQ197" s="94">
        <f>IF(ISBLANK(G197),0,1)</f>
        <v>0</v>
      </c>
    </row>
    <row r="198" spans="2:43" ht="4.95" customHeight="1" x14ac:dyDescent="0.3">
      <c r="J198" s="2"/>
      <c r="K198" s="2"/>
      <c r="L198" s="2"/>
      <c r="M198" s="40"/>
      <c r="N198" s="39"/>
      <c r="O198" s="39"/>
      <c r="Z198" s="39"/>
      <c r="AA198" s="39"/>
      <c r="AB198" s="39"/>
      <c r="AC198" s="39"/>
      <c r="AD198" s="39"/>
      <c r="AE198" s="39"/>
      <c r="AF198" s="39"/>
      <c r="AG198" s="39"/>
      <c r="AH198" s="39"/>
      <c r="AI198" s="39"/>
      <c r="AJ198" s="39"/>
      <c r="AK198" s="39"/>
    </row>
    <row r="199" spans="2:43" ht="15" customHeight="1" x14ac:dyDescent="0.3">
      <c r="C199" s="161"/>
      <c r="E199" s="161"/>
      <c r="G199" s="161"/>
      <c r="I199" s="28" t="s">
        <v>374</v>
      </c>
      <c r="J199" s="2"/>
      <c r="K199" s="2"/>
      <c r="L199" s="2"/>
      <c r="M199" s="40"/>
      <c r="N199" s="39"/>
      <c r="O199" s="39"/>
      <c r="Z199" s="39"/>
      <c r="AA199" s="209"/>
      <c r="AB199" s="209"/>
      <c r="AE199" s="260"/>
      <c r="AF199" s="260"/>
      <c r="AG199" s="260"/>
      <c r="AH199" s="260"/>
      <c r="AI199" s="260"/>
      <c r="AJ199" s="260"/>
      <c r="AK199" s="260"/>
      <c r="AM199" s="94">
        <f>IF(AND(ISBLANK(C199),ISBLANK(E199),ISBLANK(G199)),1,2)</f>
        <v>1</v>
      </c>
      <c r="AN199" s="94">
        <f>IF(ISBLANK(G199),1,2)</f>
        <v>1</v>
      </c>
      <c r="AO199" s="94">
        <f>IF(ISBLANK(C199),1,2)</f>
        <v>1</v>
      </c>
      <c r="AP199" s="94">
        <f>IF(ISBLANK(E199),1,2)</f>
        <v>1</v>
      </c>
      <c r="AQ199" s="94">
        <f>IF(ISBLANK(G199),0,1)</f>
        <v>0</v>
      </c>
    </row>
    <row r="200" spans="2:43" ht="4.95" customHeight="1" x14ac:dyDescent="0.3">
      <c r="J200" s="2"/>
      <c r="K200" s="2"/>
      <c r="L200" s="2"/>
      <c r="M200" s="40"/>
      <c r="N200" s="39"/>
      <c r="O200" s="39"/>
      <c r="Z200" s="39"/>
      <c r="AA200" s="39"/>
      <c r="AB200" s="39"/>
      <c r="AC200" s="39"/>
      <c r="AD200" s="39"/>
      <c r="AE200" s="39"/>
      <c r="AF200" s="39"/>
      <c r="AG200" s="39"/>
      <c r="AH200" s="39"/>
      <c r="AI200" s="39"/>
      <c r="AJ200" s="39"/>
      <c r="AK200" s="39"/>
    </row>
    <row r="201" spans="2:43" ht="15" customHeight="1" x14ac:dyDescent="0.3">
      <c r="E201" s="161"/>
      <c r="G201" s="161"/>
      <c r="I201" s="28" t="s">
        <v>462</v>
      </c>
      <c r="AA201" s="209"/>
      <c r="AB201" s="209"/>
      <c r="AE201" s="260"/>
      <c r="AF201" s="260"/>
      <c r="AG201" s="260"/>
      <c r="AH201" s="260"/>
      <c r="AI201" s="260"/>
      <c r="AJ201" s="260"/>
      <c r="AK201" s="260"/>
      <c r="AM201" s="94">
        <f>IF(AND(ISBLANK(E201),ISBLANK(G201)),1,2)</f>
        <v>1</v>
      </c>
      <c r="AN201" s="94">
        <f>IF(ISBLANK(G201),1,2)</f>
        <v>1</v>
      </c>
      <c r="AO201" s="165"/>
      <c r="AP201" s="94">
        <f>IF(ISBLANK(E201),1,2)</f>
        <v>1</v>
      </c>
      <c r="AQ201" s="94">
        <f>IF(ISBLANK(G201),0,1)</f>
        <v>0</v>
      </c>
    </row>
    <row r="202" spans="2:43" ht="4.95" customHeight="1" x14ac:dyDescent="0.3">
      <c r="J202" s="2"/>
      <c r="K202" s="2"/>
      <c r="L202" s="2"/>
      <c r="M202" s="40"/>
      <c r="N202" s="39"/>
      <c r="O202" s="39"/>
      <c r="P202" s="39"/>
      <c r="Q202" s="39"/>
      <c r="R202" s="39"/>
      <c r="S202" s="39"/>
      <c r="T202" s="39"/>
      <c r="U202" s="39"/>
      <c r="V202" s="39"/>
      <c r="W202" s="39"/>
      <c r="Z202" s="39"/>
      <c r="AA202" s="39"/>
      <c r="AB202" s="39"/>
      <c r="AC202" s="39"/>
      <c r="AD202" s="39"/>
      <c r="AE202" s="39"/>
    </row>
    <row r="203" spans="2:43" ht="15" customHeight="1" x14ac:dyDescent="0.3">
      <c r="E203" s="161"/>
      <c r="G203" s="161"/>
      <c r="I203" s="28" t="s">
        <v>332</v>
      </c>
      <c r="J203" s="2"/>
      <c r="K203" s="2"/>
      <c r="L203" s="2"/>
      <c r="M203" s="40"/>
      <c r="N203" s="39"/>
      <c r="O203" s="39"/>
      <c r="P203" s="39"/>
      <c r="Q203" s="39"/>
      <c r="R203" s="39"/>
      <c r="S203" s="39"/>
      <c r="T203" s="39"/>
      <c r="U203" s="39"/>
      <c r="V203" s="39"/>
      <c r="W203" s="39"/>
      <c r="Z203" s="39"/>
      <c r="AA203" s="209"/>
      <c r="AB203" s="209"/>
      <c r="AE203" s="260"/>
      <c r="AF203" s="260"/>
      <c r="AG203" s="260"/>
      <c r="AH203" s="260"/>
      <c r="AI203" s="260"/>
      <c r="AJ203" s="260"/>
      <c r="AK203" s="260"/>
      <c r="AM203" s="94">
        <f>IF(AND(ISBLANK(E203),ISBLANK(G203)),1,2)</f>
        <v>1</v>
      </c>
      <c r="AN203" s="94">
        <f>IF(ISBLANK(G203),1,2)</f>
        <v>1</v>
      </c>
      <c r="AO203" s="165"/>
      <c r="AP203" s="94">
        <f>IF(ISBLANK(E203),1,2)</f>
        <v>1</v>
      </c>
      <c r="AQ203" s="94">
        <f>IF(ISBLANK(G203),0,1)</f>
        <v>0</v>
      </c>
    </row>
    <row r="204" spans="2:43" ht="15" customHeight="1" x14ac:dyDescent="0.3">
      <c r="C204" s="2"/>
    </row>
    <row r="205" spans="2:43" ht="15" customHeight="1" x14ac:dyDescent="0.3">
      <c r="AK205" s="33"/>
    </row>
    <row r="206" spans="2:43" ht="15" customHeight="1" x14ac:dyDescent="0.3">
      <c r="B206" s="203">
        <f>Tables!$F$13</f>
        <v>46266</v>
      </c>
      <c r="C206" s="203"/>
      <c r="D206" s="203"/>
      <c r="E206" s="203"/>
      <c r="F206" s="203"/>
      <c r="G206" s="203"/>
      <c r="H206" s="203"/>
      <c r="R206" s="178" t="s">
        <v>297</v>
      </c>
      <c r="S206" s="178"/>
      <c r="T206" s="178"/>
      <c r="U206" s="178"/>
      <c r="AK206" s="33"/>
    </row>
    <row r="207" spans="2:43" ht="15" customHeight="1" x14ac:dyDescent="0.3">
      <c r="C207" s="2" t="s">
        <v>1</v>
      </c>
      <c r="D207" s="188">
        <f>IF(ISBLANK($E$7),"",$E$7)</f>
        <v>0</v>
      </c>
      <c r="E207" s="188"/>
      <c r="F207" s="188"/>
      <c r="G207" s="188"/>
      <c r="H207" s="188"/>
      <c r="I207" s="188"/>
      <c r="J207" s="188"/>
      <c r="K207" s="188"/>
      <c r="L207" s="188"/>
      <c r="M207" s="188"/>
      <c r="N207" s="188"/>
      <c r="O207" s="188"/>
      <c r="P207" s="188"/>
      <c r="Q207" s="188"/>
      <c r="R207" s="188"/>
      <c r="S207" s="188"/>
      <c r="T207" s="188"/>
      <c r="U207" s="188"/>
      <c r="V207" s="188"/>
      <c r="W207" s="188"/>
      <c r="X207" s="188"/>
      <c r="Y207" s="188"/>
      <c r="Z207" s="188"/>
      <c r="AA207" s="39"/>
      <c r="AB207" s="39"/>
      <c r="AC207" s="39"/>
      <c r="AF207" s="2" t="s">
        <v>19</v>
      </c>
      <c r="AG207" s="186">
        <f>$AF$7</f>
        <v>0</v>
      </c>
      <c r="AH207" s="186"/>
      <c r="AI207" s="186"/>
      <c r="AJ207" s="186"/>
      <c r="AK207" s="186"/>
    </row>
    <row r="208" spans="2:43" ht="15" customHeight="1" x14ac:dyDescent="0.3">
      <c r="H208" s="40"/>
      <c r="I208" s="40"/>
      <c r="J208" s="2"/>
      <c r="K208" s="2"/>
      <c r="L208" s="2"/>
      <c r="M208" s="40"/>
      <c r="N208" s="39"/>
      <c r="O208" s="39"/>
      <c r="P208" s="39"/>
      <c r="Q208" s="39"/>
      <c r="R208" s="39"/>
      <c r="S208" s="39"/>
      <c r="T208" s="39"/>
      <c r="U208" s="39"/>
      <c r="V208" s="39"/>
      <c r="W208" s="39"/>
      <c r="X208" s="39"/>
      <c r="Y208" s="39"/>
      <c r="Z208" s="39"/>
      <c r="AA208" s="39"/>
      <c r="AB208" s="39"/>
      <c r="AC208" s="39"/>
      <c r="AF208" s="2" t="s">
        <v>32</v>
      </c>
      <c r="AG208" s="187">
        <f>IF(ISBLANK($AF$8),"",$AF$8)</f>
        <v>0</v>
      </c>
      <c r="AH208" s="187"/>
      <c r="AI208" s="187"/>
      <c r="AJ208" s="187"/>
      <c r="AK208" s="187"/>
    </row>
    <row r="209" spans="2:37" ht="15" customHeight="1" x14ac:dyDescent="0.3"/>
    <row r="210" spans="2:37" ht="15" customHeight="1" x14ac:dyDescent="0.3">
      <c r="B210" s="1" t="s">
        <v>17</v>
      </c>
      <c r="C210" s="1"/>
      <c r="D210" s="1"/>
      <c r="E210" s="1"/>
      <c r="F210" s="1"/>
      <c r="G210" s="1"/>
      <c r="H210" s="1"/>
      <c r="I210" s="1"/>
    </row>
    <row r="211" spans="2:37" ht="15" customHeight="1" x14ac:dyDescent="0.3">
      <c r="B211" s="242" t="s">
        <v>262</v>
      </c>
      <c r="C211" s="242"/>
      <c r="D211" s="242"/>
      <c r="E211" s="242"/>
      <c r="F211" s="242"/>
      <c r="G211" s="242"/>
      <c r="H211" s="242"/>
      <c r="I211" s="242"/>
      <c r="J211" s="242"/>
      <c r="K211" s="242"/>
      <c r="L211" s="242"/>
      <c r="M211" s="242"/>
      <c r="N211" s="242"/>
      <c r="O211" s="242"/>
      <c r="P211" s="242"/>
      <c r="Q211" s="242"/>
      <c r="R211" s="242"/>
      <c r="S211" s="242"/>
      <c r="T211" s="242"/>
      <c r="U211" s="242"/>
      <c r="V211" s="242"/>
      <c r="W211" s="242"/>
      <c r="X211" s="242"/>
      <c r="Y211" s="242"/>
      <c r="Z211" s="242"/>
      <c r="AA211" s="242"/>
      <c r="AB211" s="242"/>
      <c r="AC211" s="242"/>
      <c r="AD211" s="242"/>
      <c r="AE211" s="242"/>
      <c r="AF211" s="242"/>
      <c r="AG211" s="242"/>
      <c r="AH211" s="242"/>
      <c r="AI211" s="242"/>
      <c r="AJ211" s="242"/>
      <c r="AK211" s="242"/>
    </row>
    <row r="212" spans="2:37" ht="15" customHeight="1" x14ac:dyDescent="0.3">
      <c r="B212" s="242"/>
      <c r="C212" s="242"/>
      <c r="D212" s="242"/>
      <c r="E212" s="242"/>
      <c r="F212" s="242"/>
      <c r="G212" s="242"/>
      <c r="H212" s="242"/>
      <c r="I212" s="242"/>
      <c r="J212" s="242"/>
      <c r="K212" s="242"/>
      <c r="L212" s="242"/>
      <c r="M212" s="242"/>
      <c r="N212" s="242"/>
      <c r="O212" s="242"/>
      <c r="P212" s="242"/>
      <c r="Q212" s="242"/>
      <c r="R212" s="242"/>
      <c r="S212" s="242"/>
      <c r="T212" s="242"/>
      <c r="U212" s="242"/>
      <c r="V212" s="242"/>
      <c r="W212" s="242"/>
      <c r="X212" s="242"/>
      <c r="Y212" s="242"/>
      <c r="Z212" s="242"/>
      <c r="AA212" s="242"/>
      <c r="AB212" s="242"/>
      <c r="AC212" s="242"/>
      <c r="AD212" s="242"/>
      <c r="AE212" s="242"/>
      <c r="AF212" s="242"/>
      <c r="AG212" s="242"/>
      <c r="AH212" s="242"/>
      <c r="AI212" s="242"/>
      <c r="AJ212" s="242"/>
      <c r="AK212" s="242"/>
    </row>
    <row r="213" spans="2:37" ht="15" customHeight="1" x14ac:dyDescent="0.3">
      <c r="B213" s="242"/>
      <c r="C213" s="242"/>
      <c r="D213" s="242"/>
      <c r="E213" s="242"/>
      <c r="F213" s="242"/>
      <c r="G213" s="242"/>
      <c r="H213" s="242"/>
      <c r="I213" s="242"/>
      <c r="J213" s="242"/>
      <c r="K213" s="242"/>
      <c r="L213" s="242"/>
      <c r="M213" s="242"/>
      <c r="N213" s="242"/>
      <c r="O213" s="242"/>
      <c r="P213" s="242"/>
      <c r="Q213" s="242"/>
      <c r="R213" s="242"/>
      <c r="S213" s="242"/>
      <c r="T213" s="242"/>
      <c r="U213" s="242"/>
      <c r="V213" s="242"/>
      <c r="W213" s="242"/>
      <c r="X213" s="242"/>
      <c r="Y213" s="242"/>
      <c r="Z213" s="242"/>
      <c r="AA213" s="242"/>
      <c r="AB213" s="242"/>
      <c r="AC213" s="242"/>
      <c r="AD213" s="242"/>
      <c r="AE213" s="242"/>
      <c r="AF213" s="242"/>
      <c r="AG213" s="242"/>
      <c r="AH213" s="242"/>
      <c r="AI213" s="242"/>
      <c r="AJ213" s="242"/>
      <c r="AK213" s="242"/>
    </row>
    <row r="214" spans="2:37" ht="15" customHeight="1" x14ac:dyDescent="0.3">
      <c r="B214" s="242"/>
      <c r="C214" s="242"/>
      <c r="D214" s="242"/>
      <c r="E214" s="242"/>
      <c r="F214" s="242"/>
      <c r="G214" s="242"/>
      <c r="H214" s="242"/>
      <c r="I214" s="242"/>
      <c r="J214" s="242"/>
      <c r="K214" s="242"/>
      <c r="L214" s="242"/>
      <c r="M214" s="242"/>
      <c r="N214" s="242"/>
      <c r="O214" s="242"/>
      <c r="P214" s="242"/>
      <c r="Q214" s="242"/>
      <c r="R214" s="242"/>
      <c r="S214" s="242"/>
      <c r="T214" s="242"/>
      <c r="U214" s="242"/>
      <c r="V214" s="242"/>
      <c r="W214" s="242"/>
      <c r="X214" s="242"/>
      <c r="Y214" s="242"/>
      <c r="Z214" s="242"/>
      <c r="AA214" s="242"/>
      <c r="AB214" s="242"/>
      <c r="AC214" s="242"/>
      <c r="AD214" s="242"/>
      <c r="AE214" s="242"/>
      <c r="AF214" s="242"/>
      <c r="AG214" s="242"/>
      <c r="AH214" s="242"/>
      <c r="AI214" s="242"/>
      <c r="AJ214" s="242"/>
      <c r="AK214" s="242"/>
    </row>
    <row r="215" spans="2:37" ht="15" customHeight="1" x14ac:dyDescent="0.3">
      <c r="D215" s="2" t="s">
        <v>167</v>
      </c>
      <c r="E215" s="206"/>
      <c r="F215" s="206"/>
      <c r="G215" s="206"/>
      <c r="H215" s="206"/>
      <c r="I215" s="206"/>
      <c r="J215" s="206"/>
      <c r="K215" s="206"/>
      <c r="L215" s="206"/>
      <c r="M215" s="206"/>
      <c r="N215" s="206"/>
      <c r="O215" s="206"/>
      <c r="P215" s="206"/>
      <c r="Q215" s="206"/>
      <c r="R215" s="206"/>
      <c r="S215" s="206"/>
      <c r="T215" s="206"/>
      <c r="U215" s="206"/>
      <c r="V215" s="206"/>
      <c r="W215" s="206"/>
      <c r="X215" s="206"/>
      <c r="Y215" s="206"/>
      <c r="AB215" s="2" t="s">
        <v>306</v>
      </c>
      <c r="AC215" s="2"/>
      <c r="AD215" s="2"/>
      <c r="AE215" s="2"/>
    </row>
    <row r="216" spans="2:37" ht="15" customHeight="1" x14ac:dyDescent="0.3">
      <c r="D216" s="2" t="s">
        <v>124</v>
      </c>
      <c r="E216" s="202"/>
      <c r="F216" s="202"/>
      <c r="G216" s="202"/>
      <c r="H216" s="202"/>
      <c r="I216" s="202"/>
      <c r="J216" s="202"/>
      <c r="K216" s="202"/>
      <c r="L216" s="202"/>
      <c r="M216" s="202"/>
      <c r="N216" s="202"/>
      <c r="O216" s="202"/>
      <c r="P216" s="202"/>
      <c r="Q216" s="202"/>
      <c r="R216" s="202"/>
      <c r="S216" s="202"/>
      <c r="T216" s="202"/>
      <c r="U216" s="202"/>
      <c r="V216" s="202"/>
      <c r="W216" s="202"/>
      <c r="X216" s="202"/>
      <c r="Y216" s="202"/>
    </row>
    <row r="217" spans="2:37" ht="15" customHeight="1" x14ac:dyDescent="0.3">
      <c r="D217" s="2" t="s">
        <v>125</v>
      </c>
      <c r="E217" s="202"/>
      <c r="F217" s="202"/>
      <c r="G217" s="202"/>
      <c r="H217" s="202"/>
      <c r="I217" s="202"/>
      <c r="J217" s="202"/>
      <c r="K217" s="202"/>
      <c r="L217" s="202"/>
      <c r="M217" s="202"/>
      <c r="N217" s="202"/>
      <c r="O217" s="202"/>
      <c r="P217" s="202"/>
      <c r="Q217" s="202"/>
      <c r="R217" s="202"/>
      <c r="S217" s="202"/>
      <c r="T217" s="202"/>
      <c r="U217" s="202"/>
      <c r="V217" s="202"/>
      <c r="W217" s="202"/>
      <c r="X217" s="202"/>
      <c r="Y217" s="202"/>
    </row>
    <row r="218" spans="2:37" ht="15" customHeight="1" x14ac:dyDescent="0.3">
      <c r="D218" s="2" t="s">
        <v>304</v>
      </c>
      <c r="E218" s="202"/>
      <c r="F218" s="202"/>
      <c r="G218" s="202"/>
      <c r="H218" s="202"/>
      <c r="I218" s="202"/>
      <c r="J218" s="202"/>
      <c r="K218" s="202"/>
      <c r="L218" s="67"/>
      <c r="M218" s="67"/>
      <c r="N218" s="100" t="s">
        <v>128</v>
      </c>
      <c r="O218" s="202"/>
      <c r="P218" s="202"/>
      <c r="Q218" s="202"/>
      <c r="R218" s="202"/>
      <c r="S218" s="67"/>
      <c r="T218" s="67"/>
      <c r="U218" s="67"/>
      <c r="V218" s="100" t="s">
        <v>129</v>
      </c>
      <c r="W218" s="212"/>
      <c r="X218" s="212"/>
      <c r="Y218" s="212"/>
    </row>
    <row r="219" spans="2:37" ht="15" customHeight="1" x14ac:dyDescent="0.3">
      <c r="D219" s="2" t="s">
        <v>126</v>
      </c>
      <c r="E219" s="218"/>
      <c r="F219" s="218"/>
      <c r="G219" s="218"/>
      <c r="H219" s="218"/>
      <c r="I219" s="218"/>
      <c r="J219" s="218"/>
      <c r="K219" s="218"/>
      <c r="L219" s="218"/>
      <c r="M219" s="218"/>
      <c r="N219" s="218"/>
      <c r="O219" s="218"/>
      <c r="P219" s="218"/>
      <c r="Q219" s="218"/>
      <c r="R219" s="218"/>
      <c r="S219" s="218"/>
      <c r="T219" s="218"/>
      <c r="U219" s="218"/>
      <c r="V219" s="218"/>
      <c r="W219" s="218"/>
      <c r="X219" s="218"/>
      <c r="Y219" s="218"/>
    </row>
    <row r="220" spans="2:37" ht="15" customHeight="1" x14ac:dyDescent="0.3">
      <c r="D220" s="2" t="s">
        <v>130</v>
      </c>
      <c r="E220" s="192"/>
      <c r="F220" s="192"/>
      <c r="G220" s="192"/>
      <c r="H220" s="192"/>
      <c r="I220" s="192"/>
      <c r="U220" s="60"/>
      <c r="V220" s="60"/>
      <c r="W220" s="60"/>
    </row>
    <row r="221" spans="2:37" ht="15" customHeight="1" x14ac:dyDescent="0.3">
      <c r="D221" s="2"/>
      <c r="E221" s="67"/>
      <c r="F221" s="67"/>
      <c r="G221" s="67"/>
      <c r="H221" s="67"/>
      <c r="I221" s="67"/>
      <c r="U221" s="60"/>
      <c r="V221" s="60"/>
      <c r="W221" s="60"/>
    </row>
    <row r="222" spans="2:37" ht="15" customHeight="1" x14ac:dyDescent="0.3">
      <c r="D222" s="2" t="s">
        <v>168</v>
      </c>
      <c r="E222" s="86"/>
      <c r="F222" s="86"/>
      <c r="G222" s="86"/>
      <c r="H222" s="86"/>
      <c r="I222" s="86"/>
      <c r="J222" s="86"/>
      <c r="K222" s="86"/>
      <c r="L222" s="86"/>
      <c r="M222" s="86"/>
      <c r="N222" s="86"/>
      <c r="O222" s="86"/>
      <c r="P222" s="86"/>
      <c r="Q222" s="86"/>
      <c r="R222" s="86"/>
      <c r="S222" s="86"/>
      <c r="T222" s="86"/>
      <c r="U222" s="60"/>
      <c r="V222" s="60"/>
      <c r="W222" s="60"/>
      <c r="AB222" s="2" t="s">
        <v>166</v>
      </c>
      <c r="AC222" s="211"/>
      <c r="AD222" s="211"/>
      <c r="AE222" s="211"/>
      <c r="AF222" s="211"/>
      <c r="AG222" s="211"/>
    </row>
    <row r="223" spans="2:37" ht="15" customHeight="1" x14ac:dyDescent="0.3"/>
    <row r="224" spans="2:37" ht="15" customHeight="1" x14ac:dyDescent="0.3"/>
    <row r="225" spans="1:39" ht="15" customHeight="1" x14ac:dyDescent="0.3">
      <c r="A225" s="43" t="s">
        <v>84</v>
      </c>
      <c r="B225" s="62"/>
      <c r="C225" s="62"/>
      <c r="D225" s="62"/>
      <c r="E225" s="62"/>
      <c r="F225" s="62"/>
      <c r="G225" s="62"/>
      <c r="H225" s="44"/>
      <c r="I225" s="44"/>
      <c r="J225" s="44"/>
      <c r="K225" s="44"/>
      <c r="L225" s="44"/>
      <c r="M225" s="44"/>
      <c r="N225" s="44"/>
      <c r="O225" s="44"/>
      <c r="P225" s="44"/>
      <c r="Q225" s="44"/>
      <c r="R225" s="44"/>
      <c r="S225" s="44"/>
      <c r="T225" s="44"/>
      <c r="U225" s="44"/>
      <c r="V225" s="44"/>
      <c r="W225" s="44"/>
      <c r="X225" s="44"/>
      <c r="Y225" s="44"/>
      <c r="Z225" s="44"/>
      <c r="AA225" s="44"/>
      <c r="AB225" s="44"/>
      <c r="AC225" s="44"/>
      <c r="AD225" s="44"/>
      <c r="AE225" s="113" t="s">
        <v>362</v>
      </c>
      <c r="AF225" s="259">
        <f>'Form 2C.1 - Design'!$AE$7</f>
        <v>0</v>
      </c>
      <c r="AG225" s="259"/>
      <c r="AH225" s="259"/>
      <c r="AI225" s="259"/>
      <c r="AJ225" s="259"/>
      <c r="AK225" s="259"/>
      <c r="AL225" s="45"/>
      <c r="AM225" s="13" t="s">
        <v>281</v>
      </c>
    </row>
    <row r="226" spans="1:39" ht="15" customHeight="1" x14ac:dyDescent="0.3">
      <c r="A226" s="46"/>
      <c r="B226" s="8"/>
      <c r="C226" s="8"/>
      <c r="D226" s="8"/>
      <c r="E226" s="8"/>
      <c r="F226" s="8"/>
      <c r="G226" s="8"/>
      <c r="H226" s="8"/>
      <c r="I226" s="8"/>
      <c r="J226" s="47" t="s">
        <v>85</v>
      </c>
      <c r="K226" s="47"/>
      <c r="L226" s="48" t="s">
        <v>181</v>
      </c>
      <c r="M226" s="47"/>
      <c r="N226" s="47"/>
      <c r="O226" s="48"/>
      <c r="P226" s="48"/>
      <c r="Q226" s="8"/>
      <c r="R226" s="8"/>
      <c r="S226" s="8"/>
      <c r="T226" s="8"/>
      <c r="U226" s="8"/>
      <c r="V226" s="8"/>
      <c r="W226" s="8"/>
      <c r="X226" s="8"/>
      <c r="Y226" s="8"/>
      <c r="Z226" s="8"/>
      <c r="AA226" s="8"/>
      <c r="AB226" s="8"/>
      <c r="AC226" s="8"/>
      <c r="AD226" s="8"/>
      <c r="AE226" s="8"/>
      <c r="AF226" s="8"/>
      <c r="AG226" s="8"/>
      <c r="AH226" s="8"/>
      <c r="AI226" s="8"/>
      <c r="AJ226" s="8"/>
      <c r="AK226" s="8"/>
      <c r="AL226" s="49"/>
      <c r="AM226" s="94">
        <f>SUM(AM227:AM240)</f>
        <v>12</v>
      </c>
    </row>
    <row r="227" spans="1:39" ht="15" customHeight="1" x14ac:dyDescent="0.3">
      <c r="A227" s="46"/>
      <c r="B227" s="8"/>
      <c r="C227" s="8"/>
      <c r="D227" s="8"/>
      <c r="E227" s="8"/>
      <c r="F227" s="8"/>
      <c r="G227" s="8"/>
      <c r="H227" s="8"/>
      <c r="I227" s="8"/>
      <c r="J227" s="9" t="s">
        <v>88</v>
      </c>
      <c r="K227" s="9"/>
      <c r="L227" s="8" t="str">
        <f>IF(AND(ISBLANK(AA99),ISBLANK(AE99)),Tables!J4,IF(AQ99=1,"",IF(AN99&lt;6,Tables!J4,"")))</f>
        <v>Emergency Spillway Section not completed</v>
      </c>
      <c r="M227" s="9"/>
      <c r="N227" s="9"/>
      <c r="O227" s="8"/>
      <c r="P227" s="8"/>
      <c r="Q227" s="8"/>
      <c r="R227" s="8"/>
      <c r="S227" s="8"/>
      <c r="T227" s="8"/>
      <c r="U227" s="8"/>
      <c r="V227" s="8"/>
      <c r="W227" s="8"/>
      <c r="X227" s="8"/>
      <c r="Y227" s="8"/>
      <c r="Z227" s="8"/>
      <c r="AA227" s="8"/>
      <c r="AB227" s="8"/>
      <c r="AC227" s="8"/>
      <c r="AD227" s="8"/>
      <c r="AE227" s="8"/>
      <c r="AF227" s="8"/>
      <c r="AG227" s="8"/>
      <c r="AH227" s="8"/>
      <c r="AI227" s="8"/>
      <c r="AJ227" s="8"/>
      <c r="AK227" s="8"/>
      <c r="AL227" s="49"/>
      <c r="AM227" s="94">
        <f>IF(L227="",0,1)</f>
        <v>1</v>
      </c>
    </row>
    <row r="228" spans="1:39" ht="15" customHeight="1" x14ac:dyDescent="0.3">
      <c r="A228" s="46"/>
      <c r="B228" s="8"/>
      <c r="C228" s="8"/>
      <c r="D228" s="8"/>
      <c r="E228" s="8"/>
      <c r="F228" s="8"/>
      <c r="G228" s="8"/>
      <c r="H228" s="8"/>
      <c r="I228" s="8"/>
      <c r="J228" s="9" t="s">
        <v>289</v>
      </c>
      <c r="K228" s="9"/>
      <c r="L228" s="8" t="str">
        <f>IF(AND(ISBLANK(AA99),ISBLANK(AE99)),Tables!J13,IF(AN152=1,"",IF(OR(AO148&lt;1,AO149&lt;1),Tables!J13,"")))</f>
        <v>Freeboard  &lt;  1.0 ft</v>
      </c>
      <c r="M228" s="9"/>
      <c r="N228" s="9"/>
      <c r="O228" s="8"/>
      <c r="P228" s="8"/>
      <c r="Q228" s="8"/>
      <c r="R228" s="8"/>
      <c r="S228" s="8"/>
      <c r="T228" s="8"/>
      <c r="U228" s="8"/>
      <c r="V228" s="8"/>
      <c r="W228" s="8"/>
      <c r="X228" s="8"/>
      <c r="Y228" s="8"/>
      <c r="Z228" s="8"/>
      <c r="AA228" s="8"/>
      <c r="AB228" s="8"/>
      <c r="AC228" s="8"/>
      <c r="AD228" s="8"/>
      <c r="AE228" s="8"/>
      <c r="AF228" s="8"/>
      <c r="AG228" s="8"/>
      <c r="AH228" s="8"/>
      <c r="AI228" s="8"/>
      <c r="AJ228" s="8"/>
      <c r="AK228" s="8"/>
      <c r="AL228" s="49"/>
      <c r="AM228" s="94">
        <f>IF(L228="",0,1)</f>
        <v>1</v>
      </c>
    </row>
    <row r="229" spans="1:39" ht="15" customHeight="1" x14ac:dyDescent="0.3">
      <c r="A229" s="46"/>
      <c r="B229" s="8"/>
      <c r="C229" s="8"/>
      <c r="D229" s="8"/>
      <c r="E229" s="8"/>
      <c r="F229" s="8"/>
      <c r="G229" s="8"/>
      <c r="H229" s="8"/>
      <c r="I229" s="8"/>
      <c r="J229" s="9" t="s">
        <v>106</v>
      </c>
      <c r="K229" s="9"/>
      <c r="L229" s="8" t="str">
        <f>IF(AP112&lt;2,Tables!J8,"")</f>
        <v>Latitude and/or Longitude not provided</v>
      </c>
      <c r="M229" s="9"/>
      <c r="N229" s="9"/>
      <c r="O229" s="8"/>
      <c r="P229" s="8"/>
      <c r="Q229" s="8"/>
      <c r="R229" s="8"/>
      <c r="S229" s="8"/>
      <c r="T229" s="8"/>
      <c r="U229" s="8"/>
      <c r="V229" s="8"/>
      <c r="W229" s="8"/>
      <c r="X229" s="8"/>
      <c r="Y229" s="8"/>
      <c r="Z229" s="8"/>
      <c r="AA229" s="8"/>
      <c r="AB229" s="8"/>
      <c r="AC229" s="8"/>
      <c r="AD229" s="8"/>
      <c r="AE229" s="8"/>
      <c r="AF229" s="8"/>
      <c r="AG229" s="8"/>
      <c r="AH229" s="8"/>
      <c r="AI229" s="8"/>
      <c r="AJ229" s="8"/>
      <c r="AK229" s="8"/>
      <c r="AL229" s="49"/>
      <c r="AM229" s="94">
        <f t="shared" ref="AM229:AM239" si="14">IF(L229="",0,1)</f>
        <v>1</v>
      </c>
    </row>
    <row r="230" spans="1:39" ht="15" customHeight="1" x14ac:dyDescent="0.3">
      <c r="A230" s="46"/>
      <c r="B230" s="8"/>
      <c r="C230" s="8"/>
      <c r="D230" s="8"/>
      <c r="E230" s="8"/>
      <c r="F230" s="8"/>
      <c r="G230" s="8"/>
      <c r="H230" s="8"/>
      <c r="I230" s="8"/>
      <c r="J230" s="9"/>
      <c r="K230" s="9"/>
      <c r="L230" s="8" t="str">
        <f>IF(AND(AS111=1,AS112=1),Tables!$J$14,IF(OR(AS111=3,AS112=3),Tables!$J$14,""))</f>
        <v>Latitude and/or Longitude has been entered as text.  Change to a number.</v>
      </c>
      <c r="M230" s="9"/>
      <c r="N230" s="9"/>
      <c r="O230" s="8"/>
      <c r="P230" s="8"/>
      <c r="Q230" s="8"/>
      <c r="R230" s="8"/>
      <c r="S230" s="8"/>
      <c r="T230" s="8"/>
      <c r="U230" s="8"/>
      <c r="V230" s="8"/>
      <c r="W230" s="8"/>
      <c r="X230" s="8"/>
      <c r="Y230" s="8"/>
      <c r="Z230" s="8"/>
      <c r="AA230" s="8"/>
      <c r="AB230" s="8"/>
      <c r="AC230" s="8"/>
      <c r="AD230" s="8"/>
      <c r="AE230" s="8"/>
      <c r="AF230" s="8"/>
      <c r="AG230" s="8"/>
      <c r="AH230" s="8"/>
      <c r="AI230" s="8"/>
      <c r="AJ230" s="8"/>
      <c r="AK230" s="8"/>
      <c r="AL230" s="49"/>
      <c r="AM230" s="94">
        <f t="shared" si="14"/>
        <v>1</v>
      </c>
    </row>
    <row r="231" spans="1:39" ht="15" customHeight="1" x14ac:dyDescent="0.3">
      <c r="A231" s="46"/>
      <c r="B231" s="8"/>
      <c r="C231" s="8"/>
      <c r="D231" s="8"/>
      <c r="E231" s="8"/>
      <c r="F231" s="8"/>
      <c r="G231" s="8"/>
      <c r="H231" s="8"/>
      <c r="I231" s="8"/>
      <c r="J231" s="9" t="s">
        <v>137</v>
      </c>
      <c r="K231" s="9"/>
      <c r="L231" s="8" t="str">
        <f>IF(AO115=2,Tables!J9,IF(AN115=1,"",Tables!J9))</f>
        <v>WQv Required &gt; WQv Provided</v>
      </c>
      <c r="M231" s="9"/>
      <c r="N231" s="9"/>
      <c r="O231" s="8"/>
      <c r="P231" s="8"/>
      <c r="Q231" s="8"/>
      <c r="R231" s="8"/>
      <c r="S231" s="8"/>
      <c r="T231" s="8"/>
      <c r="U231" s="8"/>
      <c r="V231" s="8"/>
      <c r="W231" s="8"/>
      <c r="X231" s="8"/>
      <c r="Y231" s="8"/>
      <c r="Z231" s="8"/>
      <c r="AA231" s="8"/>
      <c r="AB231" s="8"/>
      <c r="AC231" s="8"/>
      <c r="AD231" s="8"/>
      <c r="AE231" s="8"/>
      <c r="AF231" s="8"/>
      <c r="AG231" s="8"/>
      <c r="AH231" s="8"/>
      <c r="AI231" s="8"/>
      <c r="AJ231" s="8"/>
      <c r="AK231" s="8"/>
      <c r="AL231" s="49"/>
      <c r="AM231" s="94">
        <f t="shared" si="14"/>
        <v>1</v>
      </c>
    </row>
    <row r="232" spans="1:39" ht="15" customHeight="1" x14ac:dyDescent="0.3">
      <c r="A232" s="46"/>
      <c r="B232" s="8"/>
      <c r="C232" s="8"/>
      <c r="D232" s="8"/>
      <c r="E232" s="8"/>
      <c r="F232" s="8"/>
      <c r="G232" s="8"/>
      <c r="H232" s="8"/>
      <c r="I232" s="8"/>
      <c r="J232" s="99" t="s">
        <v>234</v>
      </c>
      <c r="K232" s="9"/>
      <c r="L232" s="8"/>
      <c r="M232" s="9"/>
      <c r="N232" s="9"/>
      <c r="O232" s="8"/>
      <c r="P232" s="8"/>
      <c r="Q232" s="8"/>
      <c r="R232" s="8"/>
      <c r="S232" s="8"/>
      <c r="T232" s="8"/>
      <c r="U232" s="8"/>
      <c r="V232" s="8"/>
      <c r="W232" s="8"/>
      <c r="X232" s="8"/>
      <c r="Y232" s="8"/>
      <c r="Z232" s="8"/>
      <c r="AA232" s="8"/>
      <c r="AB232" s="8"/>
      <c r="AC232" s="8"/>
      <c r="AD232" s="8"/>
      <c r="AE232" s="8"/>
      <c r="AF232" s="8"/>
      <c r="AG232" s="8"/>
      <c r="AH232" s="8"/>
      <c r="AI232" s="8"/>
      <c r="AJ232" s="8"/>
      <c r="AK232" s="8"/>
      <c r="AL232" s="49"/>
      <c r="AM232" s="94">
        <f t="shared" si="14"/>
        <v>0</v>
      </c>
    </row>
    <row r="233" spans="1:39" ht="15" customHeight="1" x14ac:dyDescent="0.3">
      <c r="A233" s="46"/>
      <c r="B233" s="8"/>
      <c r="C233" s="8"/>
      <c r="D233" s="8"/>
      <c r="E233" s="8"/>
      <c r="F233" s="8"/>
      <c r="G233" s="8"/>
      <c r="H233" s="8"/>
      <c r="I233" s="8"/>
      <c r="J233" s="9" t="s">
        <v>142</v>
      </c>
      <c r="K233" s="9"/>
      <c r="L233" s="8" t="str">
        <f>IF(AM143&gt;0,Tables!J10,"")</f>
        <v>As-Built does not match Design, provide a reason in the Comments section</v>
      </c>
      <c r="M233" s="9"/>
      <c r="N233" s="9"/>
      <c r="O233" s="8"/>
      <c r="P233" s="8"/>
      <c r="Q233" s="8"/>
      <c r="R233" s="8"/>
      <c r="S233" s="8"/>
      <c r="T233" s="8"/>
      <c r="U233" s="8"/>
      <c r="V233" s="8"/>
      <c r="W233" s="8"/>
      <c r="X233" s="8"/>
      <c r="Y233" s="8"/>
      <c r="Z233" s="8"/>
      <c r="AA233" s="8"/>
      <c r="AB233" s="8"/>
      <c r="AC233" s="8"/>
      <c r="AD233" s="8"/>
      <c r="AE233" s="8"/>
      <c r="AF233" s="8"/>
      <c r="AG233" s="8"/>
      <c r="AH233" s="8"/>
      <c r="AI233" s="8"/>
      <c r="AJ233" s="8"/>
      <c r="AK233" s="8"/>
      <c r="AL233" s="49"/>
      <c r="AM233" s="94">
        <f t="shared" si="14"/>
        <v>1</v>
      </c>
    </row>
    <row r="234" spans="1:39" ht="15" customHeight="1" x14ac:dyDescent="0.3">
      <c r="A234" s="46"/>
      <c r="B234" s="8"/>
      <c r="C234" s="8"/>
      <c r="D234" s="8"/>
      <c r="E234" s="8"/>
      <c r="F234" s="8"/>
      <c r="G234" s="8"/>
      <c r="H234" s="8"/>
      <c r="I234" s="8"/>
      <c r="J234" s="9" t="s">
        <v>143</v>
      </c>
      <c r="K234" s="9"/>
      <c r="L234" s="8" t="str">
        <f>IF(AN143&gt;0,Tables!J10,"")</f>
        <v>As-Built does not match Design, provide a reason in the Comments section</v>
      </c>
      <c r="M234" s="9"/>
      <c r="N234" s="9"/>
      <c r="O234" s="8"/>
      <c r="P234" s="8"/>
      <c r="Q234" s="8"/>
      <c r="R234" s="8"/>
      <c r="S234" s="8"/>
      <c r="T234" s="8"/>
      <c r="U234" s="8"/>
      <c r="V234" s="8"/>
      <c r="W234" s="8"/>
      <c r="X234" s="8"/>
      <c r="Y234" s="8"/>
      <c r="Z234" s="8"/>
      <c r="AA234" s="8"/>
      <c r="AB234" s="8"/>
      <c r="AC234" s="8"/>
      <c r="AD234" s="8"/>
      <c r="AE234" s="8"/>
      <c r="AF234" s="8"/>
      <c r="AG234" s="8"/>
      <c r="AH234" s="8"/>
      <c r="AI234" s="8"/>
      <c r="AJ234" s="8"/>
      <c r="AK234" s="8"/>
      <c r="AL234" s="49"/>
      <c r="AM234" s="94">
        <f t="shared" si="14"/>
        <v>1</v>
      </c>
    </row>
    <row r="235" spans="1:39" ht="15" customHeight="1" x14ac:dyDescent="0.3">
      <c r="A235" s="46"/>
      <c r="B235" s="8"/>
      <c r="C235" s="8"/>
      <c r="D235" s="8"/>
      <c r="E235" s="8"/>
      <c r="F235" s="8"/>
      <c r="G235" s="8"/>
      <c r="H235" s="8"/>
      <c r="I235" s="8"/>
      <c r="J235" s="9" t="s">
        <v>83</v>
      </c>
      <c r="K235" s="9"/>
      <c r="L235" s="8" t="str">
        <f>IF(AND(ISBLANK(AA99),ISBLANK(AE99)),Tables!J7,IF(AN152=1,"",IF(AO143&gt;0,Tables!J7,"")))</f>
        <v>Max Stage for 2, 5, 10, 25, and/or 50-year storm  &gt; emergency spillway crest elevation</v>
      </c>
      <c r="M235" s="9"/>
      <c r="N235" s="9"/>
      <c r="O235" s="8"/>
      <c r="P235" s="8"/>
      <c r="Q235" s="8"/>
      <c r="R235" s="8"/>
      <c r="S235" s="8"/>
      <c r="T235" s="8"/>
      <c r="U235" s="8"/>
      <c r="V235" s="8"/>
      <c r="W235" s="8"/>
      <c r="X235" s="8"/>
      <c r="Y235" s="8"/>
      <c r="Z235" s="8"/>
      <c r="AA235" s="8"/>
      <c r="AB235" s="8"/>
      <c r="AC235" s="8"/>
      <c r="AD235" s="8"/>
      <c r="AE235" s="8"/>
      <c r="AF235" s="8"/>
      <c r="AG235" s="8"/>
      <c r="AH235" s="8"/>
      <c r="AI235" s="8"/>
      <c r="AJ235" s="8"/>
      <c r="AK235" s="8"/>
      <c r="AL235" s="49"/>
      <c r="AM235" s="94">
        <f t="shared" si="14"/>
        <v>1</v>
      </c>
    </row>
    <row r="236" spans="1:39" ht="15" customHeight="1" x14ac:dyDescent="0.3">
      <c r="A236" s="46"/>
      <c r="B236" s="8"/>
      <c r="C236" s="8"/>
      <c r="D236" s="8"/>
      <c r="E236" s="8"/>
      <c r="F236" s="8"/>
      <c r="G236" s="8"/>
      <c r="H236" s="8"/>
      <c r="I236" s="8"/>
      <c r="J236" s="9" t="s">
        <v>246</v>
      </c>
      <c r="K236" s="9"/>
      <c r="L236" s="8" t="str">
        <f>IF(AT143&gt;0,Tables!J18,"")</f>
        <v>Outlet Control Structure Velocity &gt; 6 ft/s</v>
      </c>
      <c r="M236" s="9"/>
      <c r="N236" s="9"/>
      <c r="O236" s="8"/>
      <c r="P236" s="8"/>
      <c r="Q236" s="8"/>
      <c r="R236" s="8"/>
      <c r="S236" s="8"/>
      <c r="T236" s="8"/>
      <c r="U236" s="8"/>
      <c r="V236" s="8"/>
      <c r="W236" s="8"/>
      <c r="X236" s="8"/>
      <c r="Y236" s="8"/>
      <c r="Z236" s="8"/>
      <c r="AA236" s="8"/>
      <c r="AB236" s="8"/>
      <c r="AC236" s="8"/>
      <c r="AD236" s="8"/>
      <c r="AE236" s="8"/>
      <c r="AF236" s="8"/>
      <c r="AG236" s="8"/>
      <c r="AH236" s="8"/>
      <c r="AI236" s="8"/>
      <c r="AJ236" s="8"/>
      <c r="AK236" s="8"/>
      <c r="AL236" s="49"/>
      <c r="AM236" s="94">
        <f t="shared" si="14"/>
        <v>1</v>
      </c>
    </row>
    <row r="237" spans="1:39" ht="15" customHeight="1" x14ac:dyDescent="0.3">
      <c r="A237" s="46"/>
      <c r="B237" s="8"/>
      <c r="C237" s="8"/>
      <c r="D237" s="8"/>
      <c r="E237" s="8"/>
      <c r="F237" s="8"/>
      <c r="G237" s="8"/>
      <c r="H237" s="8"/>
      <c r="I237" s="8"/>
      <c r="J237" s="9"/>
      <c r="K237" s="9"/>
      <c r="L237" s="8" t="str">
        <f>IF(AP143&gt;0,Tables!J6,"")</f>
        <v>Emergency Spillway Velocity &gt; 6 ft/s</v>
      </c>
      <c r="M237" s="9"/>
      <c r="N237" s="9"/>
      <c r="O237" s="8"/>
      <c r="P237" s="8"/>
      <c r="Q237" s="8"/>
      <c r="R237" s="8"/>
      <c r="S237" s="8"/>
      <c r="T237" s="8"/>
      <c r="U237" s="8"/>
      <c r="V237" s="8"/>
      <c r="W237" s="8"/>
      <c r="X237" s="8"/>
      <c r="Y237" s="8"/>
      <c r="Z237" s="8"/>
      <c r="AA237" s="8"/>
      <c r="AB237" s="8"/>
      <c r="AC237" s="8"/>
      <c r="AD237" s="8"/>
      <c r="AE237" s="8"/>
      <c r="AF237" s="8"/>
      <c r="AG237" s="8"/>
      <c r="AH237" s="8"/>
      <c r="AI237" s="8"/>
      <c r="AJ237" s="8"/>
      <c r="AK237" s="8"/>
      <c r="AL237" s="49"/>
      <c r="AM237" s="94">
        <f>IF(L237="",0,1)</f>
        <v>1</v>
      </c>
    </row>
    <row r="238" spans="1:39" ht="15" customHeight="1" x14ac:dyDescent="0.3">
      <c r="A238" s="46"/>
      <c r="B238" s="8"/>
      <c r="C238" s="8"/>
      <c r="D238" s="8"/>
      <c r="E238" s="8"/>
      <c r="F238" s="8"/>
      <c r="G238" s="8"/>
      <c r="H238" s="8"/>
      <c r="I238" s="8"/>
      <c r="J238" s="9" t="s">
        <v>89</v>
      </c>
      <c r="K238" s="9"/>
      <c r="L238" s="8" t="str">
        <f>IF(OR(AQ143&gt;0,AS143&gt;0),Tables!J5,"")</f>
        <v>Total Post Q &gt; Pre Q</v>
      </c>
      <c r="M238" s="9"/>
      <c r="N238" s="9"/>
      <c r="O238" s="8"/>
      <c r="P238" s="8"/>
      <c r="Q238" s="8"/>
      <c r="R238" s="8"/>
      <c r="S238" s="8"/>
      <c r="T238" s="8"/>
      <c r="U238" s="8"/>
      <c r="V238" s="8"/>
      <c r="W238" s="8"/>
      <c r="X238" s="8"/>
      <c r="Y238" s="8"/>
      <c r="Z238" s="8"/>
      <c r="AA238" s="8"/>
      <c r="AB238" s="8"/>
      <c r="AC238" s="8"/>
      <c r="AD238" s="8"/>
      <c r="AE238" s="8"/>
      <c r="AF238" s="8"/>
      <c r="AG238" s="8"/>
      <c r="AH238" s="8"/>
      <c r="AI238" s="8"/>
      <c r="AJ238" s="8"/>
      <c r="AK238" s="8"/>
      <c r="AL238" s="49"/>
      <c r="AM238" s="94">
        <f t="shared" si="14"/>
        <v>1</v>
      </c>
    </row>
    <row r="239" spans="1:39" ht="15" customHeight="1" x14ac:dyDescent="0.3">
      <c r="A239" s="46"/>
      <c r="B239" s="8"/>
      <c r="C239" s="8"/>
      <c r="D239" s="8"/>
      <c r="E239" s="8"/>
      <c r="F239" s="8"/>
      <c r="G239" s="8"/>
      <c r="H239" s="8"/>
      <c r="I239" s="8"/>
      <c r="J239" s="9"/>
      <c r="K239" s="9"/>
      <c r="L239" s="8" t="str">
        <f>IF(AQ138="Yes",IF(AND(ISBLANK('Form 2C.1 - Design'!$C$182),ISBLANK('Form 2C.1 - Design'!$F$182)),Tables!$J$15,IF(AND($AQ$143&gt;0,$AP$138=2),Tables!$J$15,"")),"")</f>
        <v/>
      </c>
      <c r="M239" s="9"/>
      <c r="N239" s="9"/>
      <c r="O239" s="8"/>
      <c r="P239" s="8"/>
      <c r="Q239" s="8"/>
      <c r="R239" s="8"/>
      <c r="S239" s="8"/>
      <c r="T239" s="8"/>
      <c r="U239" s="8"/>
      <c r="V239" s="8"/>
      <c r="W239" s="8"/>
      <c r="X239" s="8"/>
      <c r="Y239" s="8"/>
      <c r="Z239" s="8"/>
      <c r="AA239" s="8"/>
      <c r="AB239" s="8"/>
      <c r="AC239" s="8"/>
      <c r="AD239" s="8"/>
      <c r="AE239" s="8"/>
      <c r="AF239" s="8"/>
      <c r="AG239" s="8"/>
      <c r="AH239" s="8"/>
      <c r="AI239" s="8"/>
      <c r="AJ239" s="8"/>
      <c r="AK239" s="8"/>
      <c r="AL239" s="49"/>
      <c r="AM239" s="94">
        <f t="shared" si="14"/>
        <v>0</v>
      </c>
    </row>
    <row r="240" spans="1:39" ht="15" customHeight="1" x14ac:dyDescent="0.3">
      <c r="A240" s="46"/>
      <c r="B240" s="8"/>
      <c r="C240" s="8"/>
      <c r="D240" s="8"/>
      <c r="E240" s="8"/>
      <c r="F240" s="8"/>
      <c r="G240" s="8"/>
      <c r="H240" s="8"/>
      <c r="I240" s="8"/>
      <c r="J240" s="9"/>
      <c r="K240" s="9"/>
      <c r="L240" s="8" t="str">
        <f>IF(AQ139="Yes",IF(AND(ISBLANK('Form 2C.1 - Design'!$C$184),ISBLANK('Form 2C.1 - Design'!$F$184)),Tables!$J$16,IF(AND($AR$143&gt;0,$AP$139=2),Tables!$J$16,"")),"")</f>
        <v>Drains to adjacent property:  25, 50, and 100-yr discharge &gt; 25-yr discharge</v>
      </c>
      <c r="M240" s="9"/>
      <c r="N240" s="9"/>
      <c r="O240" s="8"/>
      <c r="P240" s="8"/>
      <c r="Q240" s="8"/>
      <c r="R240" s="8"/>
      <c r="S240" s="8"/>
      <c r="T240" s="8"/>
      <c r="U240" s="8"/>
      <c r="V240" s="8"/>
      <c r="W240" s="8"/>
      <c r="X240" s="8"/>
      <c r="Y240" s="8"/>
      <c r="Z240" s="8"/>
      <c r="AA240" s="8"/>
      <c r="AB240" s="8"/>
      <c r="AC240" s="8"/>
      <c r="AD240" s="8"/>
      <c r="AE240" s="8"/>
      <c r="AF240" s="8"/>
      <c r="AG240" s="8"/>
      <c r="AH240" s="8"/>
      <c r="AI240" s="8"/>
      <c r="AJ240" s="8"/>
      <c r="AK240" s="8"/>
      <c r="AL240" s="49"/>
      <c r="AM240" s="94">
        <f>IF(L240="",0,1)</f>
        <v>1</v>
      </c>
    </row>
    <row r="241" spans="1:39" ht="15" customHeight="1" x14ac:dyDescent="0.3">
      <c r="A241" s="50"/>
      <c r="B241" s="51"/>
      <c r="C241" s="51"/>
      <c r="D241" s="51"/>
      <c r="E241" s="51"/>
      <c r="F241" s="51"/>
      <c r="G241" s="51"/>
      <c r="H241" s="51"/>
      <c r="I241" s="51"/>
      <c r="J241" s="104" t="s">
        <v>381</v>
      </c>
      <c r="K241" s="52"/>
      <c r="L241" s="105" t="str">
        <f>IF(AM181=10,Tables!J17,IF(AQ181&gt;0,Tables!J17,0))</f>
        <v>All required photographs are not provided</v>
      </c>
      <c r="M241" s="52"/>
      <c r="N241" s="52"/>
      <c r="O241" s="51"/>
      <c r="P241" s="51"/>
      <c r="Q241" s="51"/>
      <c r="R241" s="51"/>
      <c r="S241" s="51"/>
      <c r="T241" s="51"/>
      <c r="U241" s="51"/>
      <c r="V241" s="51"/>
      <c r="W241" s="51"/>
      <c r="X241" s="51"/>
      <c r="Y241" s="51"/>
      <c r="Z241" s="51"/>
      <c r="AA241" s="51"/>
      <c r="AB241" s="51"/>
      <c r="AC241" s="51"/>
      <c r="AD241" s="51"/>
      <c r="AE241" s="51"/>
      <c r="AF241" s="51"/>
      <c r="AG241" s="51"/>
      <c r="AH241" s="51"/>
      <c r="AI241" s="51"/>
      <c r="AJ241" s="51"/>
      <c r="AK241" s="51"/>
      <c r="AL241" s="53"/>
      <c r="AM241" s="94">
        <f>IF(L241="",0,1)</f>
        <v>1</v>
      </c>
    </row>
    <row r="242" spans="1:39" ht="15" customHeight="1" x14ac:dyDescent="0.3">
      <c r="AM242" s="22"/>
    </row>
    <row r="243" spans="1:39" ht="15" customHeight="1" x14ac:dyDescent="0.3"/>
    <row r="244" spans="1:39" ht="15" customHeight="1" x14ac:dyDescent="0.3"/>
    <row r="245" spans="1:39" ht="15" customHeight="1" x14ac:dyDescent="0.3"/>
    <row r="246" spans="1:39" ht="15" customHeight="1" x14ac:dyDescent="0.3"/>
    <row r="247" spans="1:39" ht="15" customHeight="1" x14ac:dyDescent="0.3"/>
    <row r="248" spans="1:39" ht="15" customHeight="1" x14ac:dyDescent="0.3"/>
    <row r="249" spans="1:39" ht="15" customHeight="1" x14ac:dyDescent="0.3">
      <c r="AK249" s="33"/>
    </row>
    <row r="250" spans="1:39" ht="15" customHeight="1" x14ac:dyDescent="0.3">
      <c r="B250" s="203">
        <f>Tables!$F$13</f>
        <v>46266</v>
      </c>
      <c r="C250" s="203"/>
      <c r="D250" s="203"/>
      <c r="E250" s="203"/>
      <c r="F250" s="203"/>
      <c r="G250" s="203"/>
      <c r="H250" s="203"/>
      <c r="R250" s="178" t="s">
        <v>296</v>
      </c>
      <c r="S250" s="178"/>
      <c r="T250" s="178"/>
      <c r="U250" s="178"/>
      <c r="AK250" s="33"/>
    </row>
    <row r="251" spans="1:39" ht="15" customHeight="1" x14ac:dyDescent="0.3"/>
    <row r="252" spans="1:39" ht="15" customHeight="1" x14ac:dyDescent="0.3"/>
    <row r="253" spans="1:39" ht="15" customHeight="1" x14ac:dyDescent="0.3"/>
    <row r="254" spans="1:39" ht="15" hidden="1" customHeight="1" x14ac:dyDescent="0.3"/>
    <row r="255" spans="1:39" ht="15" hidden="1" customHeight="1" x14ac:dyDescent="0.3"/>
    <row r="256" spans="1:39" ht="15" hidden="1" customHeight="1" x14ac:dyDescent="0.3"/>
    <row r="257" ht="15" hidden="1" customHeight="1" x14ac:dyDescent="0.3"/>
    <row r="258" ht="15" hidden="1" customHeight="1" x14ac:dyDescent="0.3"/>
    <row r="259" ht="15" hidden="1" customHeight="1" x14ac:dyDescent="0.3"/>
    <row r="260" ht="15" hidden="1" customHeight="1" x14ac:dyDescent="0.3"/>
    <row r="261" ht="15" hidden="1" customHeight="1" x14ac:dyDescent="0.3"/>
    <row r="262" ht="15" hidden="1" customHeight="1" x14ac:dyDescent="0.3"/>
    <row r="263" ht="15" hidden="1" customHeight="1" x14ac:dyDescent="0.3"/>
    <row r="264" ht="15" hidden="1" customHeight="1" x14ac:dyDescent="0.3"/>
    <row r="265" ht="15" hidden="1" customHeight="1" x14ac:dyDescent="0.3"/>
    <row r="266" ht="15" hidden="1" customHeight="1" x14ac:dyDescent="0.3"/>
    <row r="267" ht="15" hidden="1" customHeight="1" x14ac:dyDescent="0.3"/>
    <row r="268" ht="15" hidden="1" customHeight="1" x14ac:dyDescent="0.3"/>
    <row r="269" ht="15" hidden="1" customHeight="1" x14ac:dyDescent="0.3"/>
    <row r="270" ht="15" hidden="1" customHeight="1" x14ac:dyDescent="0.3"/>
    <row r="271" ht="15" hidden="1" customHeight="1" x14ac:dyDescent="0.3"/>
    <row r="272" ht="15" hidden="1" customHeight="1" x14ac:dyDescent="0.3"/>
    <row r="273" ht="15" hidden="1" customHeight="1" x14ac:dyDescent="0.3"/>
    <row r="274" ht="15" hidden="1" customHeight="1" x14ac:dyDescent="0.3"/>
    <row r="275" ht="15" hidden="1" customHeight="1" x14ac:dyDescent="0.3"/>
    <row r="276" ht="15" hidden="1" customHeight="1" x14ac:dyDescent="0.3"/>
    <row r="277" ht="15" hidden="1" customHeight="1" x14ac:dyDescent="0.3"/>
    <row r="278" ht="15" hidden="1" customHeight="1" x14ac:dyDescent="0.3"/>
    <row r="279" ht="15" hidden="1" customHeight="1" x14ac:dyDescent="0.3"/>
    <row r="280" ht="15" hidden="1" customHeight="1" x14ac:dyDescent="0.3"/>
    <row r="281" ht="15" hidden="1" customHeight="1" x14ac:dyDescent="0.3"/>
    <row r="282" ht="15" hidden="1" customHeight="1" x14ac:dyDescent="0.3"/>
    <row r="283" ht="15" hidden="1" customHeight="1" x14ac:dyDescent="0.3"/>
    <row r="284" ht="15" hidden="1" customHeight="1" x14ac:dyDescent="0.3"/>
    <row r="285" ht="15" hidden="1" customHeight="1" x14ac:dyDescent="0.3"/>
    <row r="286" ht="15" hidden="1" customHeight="1" x14ac:dyDescent="0.3"/>
    <row r="287" ht="15" hidden="1" customHeight="1" x14ac:dyDescent="0.3"/>
    <row r="288" ht="15" hidden="1" customHeight="1" x14ac:dyDescent="0.3"/>
    <row r="289" ht="15" hidden="1" customHeight="1" x14ac:dyDescent="0.3"/>
    <row r="290" ht="15" hidden="1" customHeight="1" x14ac:dyDescent="0.3"/>
    <row r="291" ht="15" hidden="1" customHeight="1" x14ac:dyDescent="0.3"/>
    <row r="292" ht="15" hidden="1" customHeight="1" x14ac:dyDescent="0.3"/>
    <row r="293" ht="15" hidden="1" customHeight="1" x14ac:dyDescent="0.3"/>
    <row r="294" ht="15" hidden="1" customHeight="1" x14ac:dyDescent="0.3"/>
    <row r="295" ht="15" hidden="1" customHeight="1" x14ac:dyDescent="0.3"/>
    <row r="296" ht="15" hidden="1" customHeight="1" x14ac:dyDescent="0.3"/>
    <row r="297" ht="15" hidden="1" customHeight="1" x14ac:dyDescent="0.3"/>
    <row r="298" ht="15" hidden="1" customHeight="1" x14ac:dyDescent="0.3"/>
    <row r="299" ht="15" hidden="1" customHeight="1" x14ac:dyDescent="0.3"/>
    <row r="300" ht="15" hidden="1" customHeight="1" x14ac:dyDescent="0.3"/>
    <row r="301" ht="15" hidden="1" customHeight="1" x14ac:dyDescent="0.3"/>
    <row r="302" ht="15" hidden="1" customHeight="1" x14ac:dyDescent="0.3"/>
    <row r="303" ht="15" hidden="1" customHeight="1" x14ac:dyDescent="0.3"/>
    <row r="304" ht="15" hidden="1" customHeight="1" x14ac:dyDescent="0.3"/>
    <row r="305" ht="15" hidden="1" customHeight="1" x14ac:dyDescent="0.3"/>
    <row r="306" ht="15" hidden="1" customHeight="1" x14ac:dyDescent="0.3"/>
    <row r="307" ht="15" hidden="1" customHeight="1" x14ac:dyDescent="0.3"/>
    <row r="308" ht="15" hidden="1" customHeight="1" x14ac:dyDescent="0.3"/>
    <row r="309" ht="15" hidden="1" customHeight="1" x14ac:dyDescent="0.3"/>
    <row r="310" ht="15" hidden="1" customHeight="1" x14ac:dyDescent="0.3"/>
    <row r="311" ht="15" hidden="1" customHeight="1" x14ac:dyDescent="0.3"/>
    <row r="312" ht="15" hidden="1" customHeight="1" x14ac:dyDescent="0.3"/>
    <row r="313" ht="15" hidden="1" customHeight="1" x14ac:dyDescent="0.3"/>
    <row r="314" ht="15" hidden="1" customHeight="1" x14ac:dyDescent="0.3"/>
  </sheetData>
  <sheetProtection algorithmName="SHA-512" hashValue="cU5CjPqg76+5vaeBA6fD2JdtRpzMQ84cYmZ/kmQl6LUaOLYyQPqOIdHAhQPn/Aj2OreeH5T9eJDNnBbenUAgtg==" saltValue="8KnbioUo52rX62pKyNPCfQ==" spinCount="100000" sheet="1" objects="1" scenarios="1" selectLockedCells="1"/>
  <mergeCells count="506">
    <mergeCell ref="AA203:AB203"/>
    <mergeCell ref="AE185:AK185"/>
    <mergeCell ref="AE187:AK187"/>
    <mergeCell ref="AE189:AK189"/>
    <mergeCell ref="AE191:AK191"/>
    <mergeCell ref="AE193:AK193"/>
    <mergeCell ref="AE195:AK195"/>
    <mergeCell ref="AE197:AK197"/>
    <mergeCell ref="AE199:AK199"/>
    <mergeCell ref="AE201:AK201"/>
    <mergeCell ref="AE203:AK203"/>
    <mergeCell ref="AA185:AB185"/>
    <mergeCell ref="AA187:AB187"/>
    <mergeCell ref="AA189:AB189"/>
    <mergeCell ref="AA191:AB191"/>
    <mergeCell ref="AA193:AB193"/>
    <mergeCell ref="AA195:AB195"/>
    <mergeCell ref="AA197:AB197"/>
    <mergeCell ref="AA199:AB199"/>
    <mergeCell ref="AA201:AB201"/>
    <mergeCell ref="Z177:AK177"/>
    <mergeCell ref="B89:D89"/>
    <mergeCell ref="E89:G89"/>
    <mergeCell ref="I89:K89"/>
    <mergeCell ref="M89:O89"/>
    <mergeCell ref="Q89:S89"/>
    <mergeCell ref="W89:Y89"/>
    <mergeCell ref="AA89:AC89"/>
    <mergeCell ref="AE89:AG89"/>
    <mergeCell ref="AI89:AK89"/>
    <mergeCell ref="AA121:AD121"/>
    <mergeCell ref="AD115:AF115"/>
    <mergeCell ref="A110:AL110"/>
    <mergeCell ref="Y101:AB101"/>
    <mergeCell ref="V128:X128"/>
    <mergeCell ref="AG122:AJ122"/>
    <mergeCell ref="AG124:AJ124"/>
    <mergeCell ref="AA120:AD120"/>
    <mergeCell ref="M124:P124"/>
    <mergeCell ref="D107:Z107"/>
    <mergeCell ref="B106:H106"/>
    <mergeCell ref="E103:G103"/>
    <mergeCell ref="AA119:AD119"/>
    <mergeCell ref="A117:AL117"/>
    <mergeCell ref="T1:AL4"/>
    <mergeCell ref="BK1:CB4"/>
    <mergeCell ref="AF225:AK225"/>
    <mergeCell ref="B63:D63"/>
    <mergeCell ref="F63:G63"/>
    <mergeCell ref="K63:M63"/>
    <mergeCell ref="P63:Q63"/>
    <mergeCell ref="V63:X63"/>
    <mergeCell ref="Z63:AA63"/>
    <mergeCell ref="AD63:AF63"/>
    <mergeCell ref="AI63:AJ63"/>
    <mergeCell ref="AI65:AJ65"/>
    <mergeCell ref="B206:H206"/>
    <mergeCell ref="R206:U206"/>
    <mergeCell ref="D207:Z207"/>
    <mergeCell ref="AG207:AK207"/>
    <mergeCell ref="AG208:AK208"/>
    <mergeCell ref="E215:Y215"/>
    <mergeCell ref="E216:Y216"/>
    <mergeCell ref="E220:I220"/>
    <mergeCell ref="E217:Y217"/>
    <mergeCell ref="E218:K218"/>
    <mergeCell ref="O218:R218"/>
    <mergeCell ref="W218:Y218"/>
    <mergeCell ref="E219:Y219"/>
    <mergeCell ref="AC222:AG222"/>
    <mergeCell ref="AH176:AK176"/>
    <mergeCell ref="AG17:AJ17"/>
    <mergeCell ref="AG18:AI18"/>
    <mergeCell ref="I42:K42"/>
    <mergeCell ref="I43:K43"/>
    <mergeCell ref="I44:K44"/>
    <mergeCell ref="N40:P40"/>
    <mergeCell ref="N41:P41"/>
    <mergeCell ref="N42:P42"/>
    <mergeCell ref="N44:P44"/>
    <mergeCell ref="N43:P43"/>
    <mergeCell ref="N35:R35"/>
    <mergeCell ref="N37:R37"/>
    <mergeCell ref="AE51:AG51"/>
    <mergeCell ref="AH73:AK73"/>
    <mergeCell ref="Y76:AA76"/>
    <mergeCell ref="Y75:AA75"/>
    <mergeCell ref="Y74:AA74"/>
    <mergeCell ref="K59:R59"/>
    <mergeCell ref="AA122:AD122"/>
    <mergeCell ref="AG19:AI19"/>
    <mergeCell ref="AH27:AJ27"/>
    <mergeCell ref="AG21:AI21"/>
    <mergeCell ref="AE50:AG50"/>
    <mergeCell ref="AG37:AK37"/>
    <mergeCell ref="AG35:AK35"/>
    <mergeCell ref="AG45:AI45"/>
    <mergeCell ref="M81:O81"/>
    <mergeCell ref="AB49:AD49"/>
    <mergeCell ref="AG46:AI46"/>
    <mergeCell ref="AG47:AI47"/>
    <mergeCell ref="AG48:AI48"/>
    <mergeCell ref="AG49:AI49"/>
    <mergeCell ref="K60:M60"/>
    <mergeCell ref="AD60:AF60"/>
    <mergeCell ref="AH66:AJ66"/>
    <mergeCell ref="P65:Q65"/>
    <mergeCell ref="O66:Q66"/>
    <mergeCell ref="AB42:AD42"/>
    <mergeCell ref="AB41:AD41"/>
    <mergeCell ref="AB40:AD40"/>
    <mergeCell ref="AI80:AK80"/>
    <mergeCell ref="Z69:AC69"/>
    <mergeCell ref="A71:AL71"/>
    <mergeCell ref="M76:O76"/>
    <mergeCell ref="AI23:AJ23"/>
    <mergeCell ref="AH101:AK101"/>
    <mergeCell ref="AH102:AJ102"/>
    <mergeCell ref="V120:X120"/>
    <mergeCell ref="V121:X121"/>
    <mergeCell ref="AA88:AC88"/>
    <mergeCell ref="V122:X122"/>
    <mergeCell ref="AI88:AK88"/>
    <mergeCell ref="W88:Y88"/>
    <mergeCell ref="AE88:AG88"/>
    <mergeCell ref="AD112:AG112"/>
    <mergeCell ref="B123:D123"/>
    <mergeCell ref="G121:J121"/>
    <mergeCell ref="G122:J122"/>
    <mergeCell ref="AG120:AJ120"/>
    <mergeCell ref="AG121:AJ121"/>
    <mergeCell ref="O103:Q103"/>
    <mergeCell ref="B120:D120"/>
    <mergeCell ref="M121:P121"/>
    <mergeCell ref="B121:D121"/>
    <mergeCell ref="AH103:AJ103"/>
    <mergeCell ref="AG108:AK108"/>
    <mergeCell ref="AG107:AK107"/>
    <mergeCell ref="AD111:AG111"/>
    <mergeCell ref="B122:D122"/>
    <mergeCell ref="J115:L115"/>
    <mergeCell ref="R106:U106"/>
    <mergeCell ref="AI69:AJ69"/>
    <mergeCell ref="AH76:AJ76"/>
    <mergeCell ref="V59:AB59"/>
    <mergeCell ref="AD59:AK59"/>
    <mergeCell ref="AG58:AK58"/>
    <mergeCell ref="V61:X61"/>
    <mergeCell ref="Z61:AA61"/>
    <mergeCell ref="AD61:AF61"/>
    <mergeCell ref="AI61:AJ61"/>
    <mergeCell ref="V62:X62"/>
    <mergeCell ref="Z62:AA62"/>
    <mergeCell ref="AD62:AF62"/>
    <mergeCell ref="AI62:AJ62"/>
    <mergeCell ref="Z66:AC66"/>
    <mergeCell ref="AH75:AJ75"/>
    <mergeCell ref="F24:I24"/>
    <mergeCell ref="AE86:AG86"/>
    <mergeCell ref="AE84:AG84"/>
    <mergeCell ref="AE85:AG85"/>
    <mergeCell ref="AA86:AC86"/>
    <mergeCell ref="AE80:AG80"/>
    <mergeCell ref="E86:G86"/>
    <mergeCell ref="E85:G85"/>
    <mergeCell ref="I85:K85"/>
    <mergeCell ref="I84:K84"/>
    <mergeCell ref="E81:G81"/>
    <mergeCell ref="E84:G84"/>
    <mergeCell ref="E80:G80"/>
    <mergeCell ref="I80:K80"/>
    <mergeCell ref="I81:K81"/>
    <mergeCell ref="AE81:AG81"/>
    <mergeCell ref="AA81:AC81"/>
    <mergeCell ref="AA84:AC84"/>
    <mergeCell ref="W80:Y80"/>
    <mergeCell ref="Q80:S80"/>
    <mergeCell ref="Q86:S86"/>
    <mergeCell ref="W84:Y84"/>
    <mergeCell ref="AG57:AK57"/>
    <mergeCell ref="AI68:AJ68"/>
    <mergeCell ref="I45:K45"/>
    <mergeCell ref="B59:H59"/>
    <mergeCell ref="B61:D61"/>
    <mergeCell ref="F61:G61"/>
    <mergeCell ref="I46:K46"/>
    <mergeCell ref="I47:K47"/>
    <mergeCell ref="I48:K48"/>
    <mergeCell ref="I49:K49"/>
    <mergeCell ref="N48:P48"/>
    <mergeCell ref="L51:N51"/>
    <mergeCell ref="L50:N50"/>
    <mergeCell ref="N45:P45"/>
    <mergeCell ref="N46:P46"/>
    <mergeCell ref="N47:P47"/>
    <mergeCell ref="AB45:AD45"/>
    <mergeCell ref="AB46:AD46"/>
    <mergeCell ref="AB47:AD47"/>
    <mergeCell ref="R56:U56"/>
    <mergeCell ref="M85:O85"/>
    <mergeCell ref="Q85:S85"/>
    <mergeCell ref="M84:O84"/>
    <mergeCell ref="Q84:S84"/>
    <mergeCell ref="Q81:S81"/>
    <mergeCell ref="AB48:AD48"/>
    <mergeCell ref="E93:G93"/>
    <mergeCell ref="L93:N93"/>
    <mergeCell ref="X93:Z93"/>
    <mergeCell ref="AE93:AG93"/>
    <mergeCell ref="E87:G87"/>
    <mergeCell ref="M87:O87"/>
    <mergeCell ref="B62:D62"/>
    <mergeCell ref="B85:D85"/>
    <mergeCell ref="B86:D86"/>
    <mergeCell ref="B84:D84"/>
    <mergeCell ref="Y73:AB73"/>
    <mergeCell ref="B87:D87"/>
    <mergeCell ref="W86:Y86"/>
    <mergeCell ref="M80:O80"/>
    <mergeCell ref="AA85:AC85"/>
    <mergeCell ref="B88:D88"/>
    <mergeCell ref="P69:Q69"/>
    <mergeCell ref="AA80:AC80"/>
    <mergeCell ref="E74:G74"/>
    <mergeCell ref="E75:G75"/>
    <mergeCell ref="E76:G76"/>
    <mergeCell ref="N73:Q73"/>
    <mergeCell ref="A91:AL91"/>
    <mergeCell ref="H92:P92"/>
    <mergeCell ref="AI86:AK86"/>
    <mergeCell ref="AI87:AK87"/>
    <mergeCell ref="AI84:AK84"/>
    <mergeCell ref="AI81:AK81"/>
    <mergeCell ref="AA87:AC87"/>
    <mergeCell ref="AE87:AG87"/>
    <mergeCell ref="G123:J123"/>
    <mergeCell ref="M120:P120"/>
    <mergeCell ref="G120:J120"/>
    <mergeCell ref="E88:G88"/>
    <mergeCell ref="G119:J119"/>
    <mergeCell ref="A97:AL97"/>
    <mergeCell ref="E102:G102"/>
    <mergeCell ref="Y102:AA102"/>
    <mergeCell ref="Y103:AA103"/>
    <mergeCell ref="A114:AL114"/>
    <mergeCell ref="O102:Q102"/>
    <mergeCell ref="W85:Y85"/>
    <mergeCell ref="W81:Y81"/>
    <mergeCell ref="V123:X123"/>
    <mergeCell ref="E101:H101"/>
    <mergeCell ref="I86:K86"/>
    <mergeCell ref="M86:O86"/>
    <mergeCell ref="W87:Y87"/>
    <mergeCell ref="B128:D128"/>
    <mergeCell ref="G124:J124"/>
    <mergeCell ref="V126:X126"/>
    <mergeCell ref="M126:P126"/>
    <mergeCell ref="G125:J125"/>
    <mergeCell ref="G126:J126"/>
    <mergeCell ref="V125:X125"/>
    <mergeCell ref="G127:J127"/>
    <mergeCell ref="B126:D126"/>
    <mergeCell ref="B127:D127"/>
    <mergeCell ref="V127:X127"/>
    <mergeCell ref="M127:P127"/>
    <mergeCell ref="B124:D124"/>
    <mergeCell ref="B125:D125"/>
    <mergeCell ref="G128:J128"/>
    <mergeCell ref="M128:P128"/>
    <mergeCell ref="V124:X124"/>
    <mergeCell ref="AA126:AD126"/>
    <mergeCell ref="AA125:AD125"/>
    <mergeCell ref="AI85:AK85"/>
    <mergeCell ref="M125:P125"/>
    <mergeCell ref="M123:P123"/>
    <mergeCell ref="M122:P122"/>
    <mergeCell ref="AG178:AK178"/>
    <mergeCell ref="AG171:AK171"/>
    <mergeCell ref="F174:V174"/>
    <mergeCell ref="AD136:AF136"/>
    <mergeCell ref="G133:J133"/>
    <mergeCell ref="Y136:AB136"/>
    <mergeCell ref="Z176:AC176"/>
    <mergeCell ref="AG155:AK155"/>
    <mergeCell ref="F171:V171"/>
    <mergeCell ref="B157:AK164"/>
    <mergeCell ref="R153:U153"/>
    <mergeCell ref="C148:D148"/>
    <mergeCell ref="D154:Z154"/>
    <mergeCell ref="B153:H153"/>
    <mergeCell ref="F170:V170"/>
    <mergeCell ref="AG154:AK154"/>
    <mergeCell ref="I149:K149"/>
    <mergeCell ref="I148:K148"/>
    <mergeCell ref="C149:D149"/>
    <mergeCell ref="Z169:AC169"/>
    <mergeCell ref="C141:D141"/>
    <mergeCell ref="C142:D142"/>
    <mergeCell ref="V133:X133"/>
    <mergeCell ref="M133:P133"/>
    <mergeCell ref="M141:O141"/>
    <mergeCell ref="M140:O140"/>
    <mergeCell ref="B133:D133"/>
    <mergeCell ref="U136:W136"/>
    <mergeCell ref="Q136:S136"/>
    <mergeCell ref="M136:O136"/>
    <mergeCell ref="I136:K136"/>
    <mergeCell ref="I142:K142"/>
    <mergeCell ref="I141:K141"/>
    <mergeCell ref="I140:K140"/>
    <mergeCell ref="M138:O138"/>
    <mergeCell ref="U141:W141"/>
    <mergeCell ref="U140:W140"/>
    <mergeCell ref="Q142:S142"/>
    <mergeCell ref="Q141:S141"/>
    <mergeCell ref="Q139:S139"/>
    <mergeCell ref="Q138:S138"/>
    <mergeCell ref="M149:O149"/>
    <mergeCell ref="AV6:BI7"/>
    <mergeCell ref="N19:P19"/>
    <mergeCell ref="N21:P21"/>
    <mergeCell ref="AG44:AI44"/>
    <mergeCell ref="AG31:AK31"/>
    <mergeCell ref="AG43:AI43"/>
    <mergeCell ref="AG42:AI42"/>
    <mergeCell ref="A14:AL14"/>
    <mergeCell ref="N17:Q17"/>
    <mergeCell ref="Z21:AB21"/>
    <mergeCell ref="AG41:AI41"/>
    <mergeCell ref="AG40:AI40"/>
    <mergeCell ref="AF7:AK7"/>
    <mergeCell ref="AF8:AK8"/>
    <mergeCell ref="G18:J18"/>
    <mergeCell ref="Y24:AB24"/>
    <mergeCell ref="N18:P18"/>
    <mergeCell ref="Z19:AB19"/>
    <mergeCell ref="Z18:AC18"/>
    <mergeCell ref="O27:Q27"/>
    <mergeCell ref="N31:R31"/>
    <mergeCell ref="AB44:AD44"/>
    <mergeCell ref="AB43:AD43"/>
    <mergeCell ref="Z20:AB20"/>
    <mergeCell ref="E7:Z7"/>
    <mergeCell ref="G21:I21"/>
    <mergeCell ref="I40:K40"/>
    <mergeCell ref="I41:K41"/>
    <mergeCell ref="E8:Z8"/>
    <mergeCell ref="G20:I20"/>
    <mergeCell ref="I111:L111"/>
    <mergeCell ref="I112:L112"/>
    <mergeCell ref="G33:R33"/>
    <mergeCell ref="P23:Q23"/>
    <mergeCell ref="P24:Q24"/>
    <mergeCell ref="P68:Q68"/>
    <mergeCell ref="K61:M61"/>
    <mergeCell ref="P61:Q61"/>
    <mergeCell ref="M75:O75"/>
    <mergeCell ref="N49:P49"/>
    <mergeCell ref="F62:G62"/>
    <mergeCell ref="K62:M62"/>
    <mergeCell ref="P62:Q62"/>
    <mergeCell ref="B56:H56"/>
    <mergeCell ref="F66:I66"/>
    <mergeCell ref="D57:Z57"/>
    <mergeCell ref="F69:I69"/>
    <mergeCell ref="E73:H73"/>
    <mergeCell ref="G19:I19"/>
    <mergeCell ref="I87:K87"/>
    <mergeCell ref="B250:H250"/>
    <mergeCell ref="R250:U250"/>
    <mergeCell ref="A135:AL135"/>
    <mergeCell ref="AH136:AK136"/>
    <mergeCell ref="AH143:AK143"/>
    <mergeCell ref="AH142:AK142"/>
    <mergeCell ref="F175:V175"/>
    <mergeCell ref="F176:V176"/>
    <mergeCell ref="F177:V177"/>
    <mergeCell ref="F178:V178"/>
    <mergeCell ref="AH140:AK140"/>
    <mergeCell ref="AH141:AK141"/>
    <mergeCell ref="AH144:AK144"/>
    <mergeCell ref="F168:V168"/>
    <mergeCell ref="F169:V169"/>
    <mergeCell ref="F167:V167"/>
    <mergeCell ref="B211:AK214"/>
    <mergeCell ref="Q140:S140"/>
    <mergeCell ref="AH137:AK137"/>
    <mergeCell ref="AH138:AK138"/>
    <mergeCell ref="AH139:AK139"/>
    <mergeCell ref="U142:W142"/>
    <mergeCell ref="M148:O148"/>
    <mergeCell ref="M147:O147"/>
    <mergeCell ref="M146:O146"/>
    <mergeCell ref="M145:O145"/>
    <mergeCell ref="M144:O144"/>
    <mergeCell ref="M142:O142"/>
    <mergeCell ref="M139:O139"/>
    <mergeCell ref="AH169:AK169"/>
    <mergeCell ref="U148:W148"/>
    <mergeCell ref="Z170:AK170"/>
    <mergeCell ref="AD142:AF142"/>
    <mergeCell ref="Y139:AB139"/>
    <mergeCell ref="Y138:AB138"/>
    <mergeCell ref="Y137:AB137"/>
    <mergeCell ref="U139:W139"/>
    <mergeCell ref="U138:W138"/>
    <mergeCell ref="U137:W137"/>
    <mergeCell ref="Q137:S137"/>
    <mergeCell ref="U149:W149"/>
    <mergeCell ref="Q149:S149"/>
    <mergeCell ref="Q148:S148"/>
    <mergeCell ref="C147:D147"/>
    <mergeCell ref="C145:D145"/>
    <mergeCell ref="C144:D144"/>
    <mergeCell ref="C146:D146"/>
    <mergeCell ref="Y142:AB142"/>
    <mergeCell ref="Y141:AB141"/>
    <mergeCell ref="Y140:AB140"/>
    <mergeCell ref="U147:W147"/>
    <mergeCell ref="U146:W146"/>
    <mergeCell ref="U145:W145"/>
    <mergeCell ref="U144:W144"/>
    <mergeCell ref="Y143:AB143"/>
    <mergeCell ref="U143:W143"/>
    <mergeCell ref="Q143:S143"/>
    <mergeCell ref="M143:O143"/>
    <mergeCell ref="I143:K143"/>
    <mergeCell ref="Q147:S147"/>
    <mergeCell ref="Q146:S146"/>
    <mergeCell ref="Q145:S145"/>
    <mergeCell ref="Q144:S144"/>
    <mergeCell ref="C137:D137"/>
    <mergeCell ref="C138:D138"/>
    <mergeCell ref="C139:D139"/>
    <mergeCell ref="C140:D140"/>
    <mergeCell ref="I139:K139"/>
    <mergeCell ref="I138:K138"/>
    <mergeCell ref="I137:K137"/>
    <mergeCell ref="M132:P132"/>
    <mergeCell ref="M129:P129"/>
    <mergeCell ref="M131:P131"/>
    <mergeCell ref="G131:J131"/>
    <mergeCell ref="G130:J130"/>
    <mergeCell ref="G129:J129"/>
    <mergeCell ref="M137:O137"/>
    <mergeCell ref="Q87:S87"/>
    <mergeCell ref="Q88:S88"/>
    <mergeCell ref="M88:O88"/>
    <mergeCell ref="I88:K88"/>
    <mergeCell ref="O101:R101"/>
    <mergeCell ref="B132:D132"/>
    <mergeCell ref="B129:D129"/>
    <mergeCell ref="AG131:AJ131"/>
    <mergeCell ref="B131:D131"/>
    <mergeCell ref="M130:P130"/>
    <mergeCell ref="B130:D130"/>
    <mergeCell ref="G132:J132"/>
    <mergeCell ref="AA123:AD123"/>
    <mergeCell ref="AG125:AJ125"/>
    <mergeCell ref="AG126:AJ126"/>
    <mergeCell ref="AA128:AD128"/>
    <mergeCell ref="AA127:AD127"/>
    <mergeCell ref="AG123:AJ123"/>
    <mergeCell ref="AA124:AD124"/>
    <mergeCell ref="AG127:AJ127"/>
    <mergeCell ref="AG128:AJ128"/>
    <mergeCell ref="AA92:AI92"/>
    <mergeCell ref="E95:F95"/>
    <mergeCell ref="X95:Y95"/>
    <mergeCell ref="AG129:AJ129"/>
    <mergeCell ref="AG133:AJ133"/>
    <mergeCell ref="AA131:AD131"/>
    <mergeCell ref="AG132:AJ132"/>
    <mergeCell ref="AG130:AJ130"/>
    <mergeCell ref="AA133:AD133"/>
    <mergeCell ref="V131:X131"/>
    <mergeCell ref="AA130:AD130"/>
    <mergeCell ref="V129:X129"/>
    <mergeCell ref="V132:X132"/>
    <mergeCell ref="V130:X130"/>
    <mergeCell ref="AA129:AD129"/>
    <mergeCell ref="AA132:AD132"/>
    <mergeCell ref="AD6:AK6"/>
    <mergeCell ref="I147:K147"/>
    <mergeCell ref="I146:K146"/>
    <mergeCell ref="I145:K145"/>
    <mergeCell ref="I144:K144"/>
    <mergeCell ref="AH149:AK149"/>
    <mergeCell ref="AH148:AK148"/>
    <mergeCell ref="AH147:AK147"/>
    <mergeCell ref="AH146:AK146"/>
    <mergeCell ref="AD149:AF149"/>
    <mergeCell ref="Y149:AB149"/>
    <mergeCell ref="Y148:AB148"/>
    <mergeCell ref="Y147:AB147"/>
    <mergeCell ref="Y146:AB146"/>
    <mergeCell ref="Y145:AB145"/>
    <mergeCell ref="Y144:AB144"/>
    <mergeCell ref="AH145:AK145"/>
    <mergeCell ref="AD143:AF143"/>
    <mergeCell ref="AI24:AJ24"/>
    <mergeCell ref="P26:Q26"/>
    <mergeCell ref="AI26:AJ26"/>
    <mergeCell ref="F27:I27"/>
    <mergeCell ref="Z27:AC27"/>
    <mergeCell ref="Z33:AK33"/>
  </mergeCells>
  <conditionalFormatting sqref="B157:AK164">
    <cfRule type="cellIs" priority="2161" stopIfTrue="1" operator="greaterThan">
      <formula>0</formula>
    </cfRule>
    <cfRule type="expression" dxfId="137" priority="2162">
      <formula>$AM$226&gt;0</formula>
    </cfRule>
  </conditionalFormatting>
  <conditionalFormatting sqref="C187">
    <cfRule type="expression" dxfId="136" priority="139">
      <formula>ISBLANK(C187)</formula>
    </cfRule>
  </conditionalFormatting>
  <conditionalFormatting sqref="C189 C191 C193 C195 C197 C199">
    <cfRule type="expression" dxfId="135" priority="136">
      <formula>ISBLANK(C189)</formula>
    </cfRule>
  </conditionalFormatting>
  <conditionalFormatting sqref="C193">
    <cfRule type="expression" priority="4" stopIfTrue="1">
      <formula>$AM$193=2</formula>
    </cfRule>
  </conditionalFormatting>
  <conditionalFormatting sqref="C195">
    <cfRule type="expression" priority="3" stopIfTrue="1">
      <formula>$AM$195=2</formula>
    </cfRule>
  </conditionalFormatting>
  <conditionalFormatting sqref="C197">
    <cfRule type="expression" priority="2" stopIfTrue="1">
      <formula>$AM$197=2</formula>
    </cfRule>
  </conditionalFormatting>
  <conditionalFormatting sqref="C199">
    <cfRule type="expression" priority="1" stopIfTrue="1">
      <formula>$AM$199=2</formula>
    </cfRule>
  </conditionalFormatting>
  <conditionalFormatting sqref="D57:Z57">
    <cfRule type="cellIs" dxfId="134" priority="247" operator="equal">
      <formula>0</formula>
    </cfRule>
  </conditionalFormatting>
  <conditionalFormatting sqref="D107:Z107">
    <cfRule type="cellIs" dxfId="133" priority="245" operator="equal">
      <formula>0</formula>
    </cfRule>
  </conditionalFormatting>
  <conditionalFormatting sqref="D154:Z154">
    <cfRule type="cellIs" dxfId="132" priority="240" operator="equal">
      <formula>0</formula>
    </cfRule>
  </conditionalFormatting>
  <conditionalFormatting sqref="D207:Z207">
    <cfRule type="cellIs" dxfId="131" priority="153" operator="equal">
      <formula>0</formula>
    </cfRule>
  </conditionalFormatting>
  <conditionalFormatting sqref="E93">
    <cfRule type="cellIs" priority="42" stopIfTrue="1" operator="greaterThan">
      <formula>0</formula>
    </cfRule>
    <cfRule type="expression" priority="41" stopIfTrue="1">
      <formula>$AL$61=2</formula>
    </cfRule>
  </conditionalFormatting>
  <conditionalFormatting sqref="E183 G183">
    <cfRule type="expression" dxfId="130" priority="101">
      <formula>ISBLANK(E183)</formula>
    </cfRule>
  </conditionalFormatting>
  <conditionalFormatting sqref="E185 G185">
    <cfRule type="expression" dxfId="129" priority="145">
      <formula>ISBLANK(E185)</formula>
    </cfRule>
  </conditionalFormatting>
  <conditionalFormatting sqref="E187 G187 AA187:AB187 AE187:AK187">
    <cfRule type="expression" priority="11" stopIfTrue="1">
      <formula>$AO$187=2</formula>
    </cfRule>
  </conditionalFormatting>
  <conditionalFormatting sqref="E187 G187">
    <cfRule type="expression" dxfId="128" priority="140">
      <formula>ISBLANK(E187)</formula>
    </cfRule>
  </conditionalFormatting>
  <conditionalFormatting sqref="E189 G189 AA189:AB189 AE189:AK189">
    <cfRule type="expression" priority="10" stopIfTrue="1">
      <formula>$AO$189=2</formula>
    </cfRule>
  </conditionalFormatting>
  <conditionalFormatting sqref="E189 G189">
    <cfRule type="expression" dxfId="127" priority="137">
      <formula>ISBLANK(E189)</formula>
    </cfRule>
  </conditionalFormatting>
  <conditionalFormatting sqref="E191 G191 AA191:AB191 AE191:AK191">
    <cfRule type="expression" priority="9" stopIfTrue="1">
      <formula>$AO$191=2</formula>
    </cfRule>
  </conditionalFormatting>
  <conditionalFormatting sqref="E191 G191">
    <cfRule type="expression" dxfId="126" priority="134">
      <formula>ISBLANK(E191)</formula>
    </cfRule>
  </conditionalFormatting>
  <conditionalFormatting sqref="E193 G193 AA193:AB193 AE193:AK193">
    <cfRule type="expression" priority="8" stopIfTrue="1">
      <formula>$AO$193=2</formula>
    </cfRule>
  </conditionalFormatting>
  <conditionalFormatting sqref="E193 G193">
    <cfRule type="expression" dxfId="125" priority="131">
      <formula>ISBLANK(E193)</formula>
    </cfRule>
  </conditionalFormatting>
  <conditionalFormatting sqref="E195 G195 AA195:AB195 AE195:AK195">
    <cfRule type="expression" priority="7" stopIfTrue="1">
      <formula>$AO$195=2</formula>
    </cfRule>
  </conditionalFormatting>
  <conditionalFormatting sqref="E195 G195">
    <cfRule type="expression" dxfId="124" priority="130">
      <formula>ISBLANK(E195)</formula>
    </cfRule>
  </conditionalFormatting>
  <conditionalFormatting sqref="E197 G197 AA197:AB197 AE197:AK197">
    <cfRule type="expression" priority="6" stopIfTrue="1">
      <formula>$AO$197=2</formula>
    </cfRule>
  </conditionalFormatting>
  <conditionalFormatting sqref="E197 G197">
    <cfRule type="expression" dxfId="123" priority="129">
      <formula>ISBLANK(E197)</formula>
    </cfRule>
  </conditionalFormatting>
  <conditionalFormatting sqref="E199 G199 AA199:AB199 AE199:AK199">
    <cfRule type="expression" priority="5" stopIfTrue="1">
      <formula>$AO$199=2</formula>
    </cfRule>
  </conditionalFormatting>
  <conditionalFormatting sqref="E199 G199">
    <cfRule type="expression" dxfId="122" priority="70">
      <formula>ISBLANK(E199)</formula>
    </cfRule>
  </conditionalFormatting>
  <conditionalFormatting sqref="E201 G201">
    <cfRule type="expression" dxfId="121" priority="120">
      <formula>ISBLANK(E201)</formula>
    </cfRule>
  </conditionalFormatting>
  <conditionalFormatting sqref="E203 G203">
    <cfRule type="expression" dxfId="120" priority="98">
      <formula>ISBLANK(E203)</formula>
    </cfRule>
  </conditionalFormatting>
  <conditionalFormatting sqref="E215:E216">
    <cfRule type="expression" dxfId="119" priority="105">
      <formula>ISBLANK(E215)</formula>
    </cfRule>
  </conditionalFormatting>
  <conditionalFormatting sqref="E217:Y217 E218:E220">
    <cfRule type="expression" dxfId="118" priority="103">
      <formula>ISBLANK(E217)</formula>
    </cfRule>
  </conditionalFormatting>
  <conditionalFormatting sqref="E7:Z8 AF8">
    <cfRule type="cellIs" dxfId="117" priority="234" operator="equal">
      <formula>0</formula>
    </cfRule>
  </conditionalFormatting>
  <conditionalFormatting sqref="F167:F171 AH169">
    <cfRule type="expression" dxfId="116" priority="257">
      <formula>ISBLANK(F167)</formula>
    </cfRule>
  </conditionalFormatting>
  <conditionalFormatting sqref="F174:F178 AH176 Z176:Z177 AG178:AK178">
    <cfRule type="expression" dxfId="115" priority="1205">
      <formula>ISBLANK(F174)</formula>
    </cfRule>
    <cfRule type="expression" priority="255" stopIfTrue="1">
      <formula>$AM$173=2</formula>
    </cfRule>
  </conditionalFormatting>
  <conditionalFormatting sqref="G10 O10 AA10">
    <cfRule type="expression" dxfId="114" priority="253">
      <formula>ISBLANK(G10)</formula>
    </cfRule>
  </conditionalFormatting>
  <conditionalFormatting sqref="G12">
    <cfRule type="expression" dxfId="113" priority="32">
      <formula>ISBLANK(G12)</formula>
    </cfRule>
  </conditionalFormatting>
  <conditionalFormatting sqref="G183 E183">
    <cfRule type="expression" priority="100" stopIfTrue="1">
      <formula>$AM$183=2</formula>
    </cfRule>
  </conditionalFormatting>
  <conditionalFormatting sqref="G183">
    <cfRule type="expression" dxfId="112" priority="99">
      <formula>$AN$183=2</formula>
    </cfRule>
  </conditionalFormatting>
  <conditionalFormatting sqref="G185 E185">
    <cfRule type="expression" priority="144" stopIfTrue="1">
      <formula>$AM$185=2</formula>
    </cfRule>
  </conditionalFormatting>
  <conditionalFormatting sqref="G185">
    <cfRule type="expression" dxfId="111" priority="143">
      <formula>$AN$185=2</formula>
    </cfRule>
  </conditionalFormatting>
  <conditionalFormatting sqref="G187 E187 C187">
    <cfRule type="expression" priority="138" stopIfTrue="1">
      <formula>$AM$187=2</formula>
    </cfRule>
  </conditionalFormatting>
  <conditionalFormatting sqref="G187">
    <cfRule type="expression" dxfId="110" priority="27">
      <formula>$AN$187=2</formula>
    </cfRule>
  </conditionalFormatting>
  <conditionalFormatting sqref="G189 E189 C189">
    <cfRule type="expression" priority="135" stopIfTrue="1">
      <formula>$AM$189=2</formula>
    </cfRule>
  </conditionalFormatting>
  <conditionalFormatting sqref="G189">
    <cfRule type="expression" dxfId="109" priority="25">
      <formula>$AN$189=2</formula>
    </cfRule>
  </conditionalFormatting>
  <conditionalFormatting sqref="G191 E191 C191">
    <cfRule type="expression" priority="133" stopIfTrue="1">
      <formula>$AM$191=2</formula>
    </cfRule>
  </conditionalFormatting>
  <conditionalFormatting sqref="G191">
    <cfRule type="expression" dxfId="108" priority="132">
      <formula>$AN$191=2</formula>
    </cfRule>
  </conditionalFormatting>
  <conditionalFormatting sqref="G193 G195 G197 G199 E193 E195 E197 E199">
    <cfRule type="expression" priority="67" stopIfTrue="1">
      <formula>$AM193=2</formula>
    </cfRule>
  </conditionalFormatting>
  <conditionalFormatting sqref="G193 G195 G197 G199">
    <cfRule type="expression" dxfId="107" priority="64">
      <formula>$AN193=2</formula>
    </cfRule>
  </conditionalFormatting>
  <conditionalFormatting sqref="G201 E201">
    <cfRule type="expression" priority="119" stopIfTrue="1">
      <formula>$AM$201=2</formula>
    </cfRule>
  </conditionalFormatting>
  <conditionalFormatting sqref="G201">
    <cfRule type="expression" dxfId="106" priority="118">
      <formula>$AN$201=2</formula>
    </cfRule>
  </conditionalFormatting>
  <conditionalFormatting sqref="G203 E203">
    <cfRule type="expression" priority="97" stopIfTrue="1">
      <formula>$AM$203=2</formula>
    </cfRule>
  </conditionalFormatting>
  <conditionalFormatting sqref="G203">
    <cfRule type="expression" dxfId="105" priority="96">
      <formula>$AN$203=2</formula>
    </cfRule>
  </conditionalFormatting>
  <conditionalFormatting sqref="I144:I149">
    <cfRule type="cellIs" dxfId="104" priority="408" operator="notEqual">
      <formula>$I137</formula>
    </cfRule>
    <cfRule type="expression" dxfId="103" priority="407" stopIfTrue="1">
      <formula>ISBLANK(I144)</formula>
    </cfRule>
  </conditionalFormatting>
  <conditionalFormatting sqref="M144:M149">
    <cfRule type="expression" dxfId="102" priority="2050" stopIfTrue="1">
      <formula>ISBLANK(M144)</formula>
    </cfRule>
    <cfRule type="cellIs" dxfId="101" priority="2051" operator="notEqual">
      <formula>$M137</formula>
    </cfRule>
  </conditionalFormatting>
  <conditionalFormatting sqref="O218 W218">
    <cfRule type="expression" dxfId="100" priority="102">
      <formula>ISBLANK(O218)</formula>
    </cfRule>
  </conditionalFormatting>
  <conditionalFormatting sqref="Q137:Q142 U137:U142 AD142">
    <cfRule type="expression" dxfId="99" priority="342">
      <formula>ISBLANK(Q137)</formula>
    </cfRule>
  </conditionalFormatting>
  <conditionalFormatting sqref="U17 U29">
    <cfRule type="expression" dxfId="98" priority="220">
      <formula>$AN$17=1</formula>
    </cfRule>
    <cfRule type="cellIs" priority="219" stopIfTrue="1" operator="greaterThan">
      <formula>0</formula>
    </cfRule>
  </conditionalFormatting>
  <conditionalFormatting sqref="U144:U147">
    <cfRule type="cellIs" dxfId="97" priority="400" operator="greaterThan">
      <formula>$Y$103</formula>
    </cfRule>
  </conditionalFormatting>
  <conditionalFormatting sqref="U144:U149">
    <cfRule type="expression" priority="2156" stopIfTrue="1">
      <formula>$AN$152=1</formula>
    </cfRule>
  </conditionalFormatting>
  <conditionalFormatting sqref="U148">
    <cfRule type="expression" dxfId="96" priority="2030">
      <formula>$AO$148&lt;1</formula>
    </cfRule>
  </conditionalFormatting>
  <conditionalFormatting sqref="U149">
    <cfRule type="expression" dxfId="95" priority="2031">
      <formula>$AO$149&lt;1</formula>
    </cfRule>
  </conditionalFormatting>
  <conditionalFormatting sqref="V31 Z31 V33">
    <cfRule type="cellIs" priority="106" stopIfTrue="1" operator="greaterThan">
      <formula>0</formula>
    </cfRule>
    <cfRule type="expression" dxfId="94" priority="108">
      <formula>$AM$29=2</formula>
    </cfRule>
    <cfRule type="expression" priority="107" stopIfTrue="1">
      <formula>$AM$31=2</formula>
    </cfRule>
  </conditionalFormatting>
  <conditionalFormatting sqref="V61:X63 Z61:AA63 AD61:AF63 AI61:AJ63">
    <cfRule type="cellIs" priority="60" stopIfTrue="1" operator="greaterThan">
      <formula>0</formula>
    </cfRule>
    <cfRule type="expression" dxfId="93" priority="61">
      <formula>$AN61=2</formula>
    </cfRule>
  </conditionalFormatting>
  <conditionalFormatting sqref="V120:X120">
    <cfRule type="expression" dxfId="92" priority="151">
      <formula>ISBLANK($V$120)</formula>
    </cfRule>
    <cfRule type="cellIs" priority="150" operator="greaterThan">
      <formula>0</formula>
    </cfRule>
  </conditionalFormatting>
  <conditionalFormatting sqref="Y35 AB35">
    <cfRule type="expression" dxfId="91" priority="191">
      <formula>$AM$29=2</formula>
    </cfRule>
    <cfRule type="expression" priority="190" stopIfTrue="1">
      <formula>$AM$35=2</formula>
    </cfRule>
    <cfRule type="cellIs" priority="189" stopIfTrue="1" operator="greaterThan">
      <formula>0</formula>
    </cfRule>
  </conditionalFormatting>
  <conditionalFormatting sqref="Y37 AB37">
    <cfRule type="expression" dxfId="90" priority="186">
      <formula>$AM$29=2</formula>
    </cfRule>
    <cfRule type="expression" priority="185" stopIfTrue="1">
      <formula>$AM$37=2</formula>
    </cfRule>
    <cfRule type="cellIs" priority="184" stopIfTrue="1" operator="greaterThan">
      <formula>0</formula>
    </cfRule>
  </conditionalFormatting>
  <conditionalFormatting sqref="Y73 AH76 W80:W81 M137:M142">
    <cfRule type="expression" dxfId="89" priority="343">
      <formula>ISBLANK(M73)</formula>
    </cfRule>
  </conditionalFormatting>
  <conditionalFormatting sqref="Y76">
    <cfRule type="expression" dxfId="88" priority="319">
      <formula>ISBLANK(Y76)</formula>
    </cfRule>
  </conditionalFormatting>
  <conditionalFormatting sqref="Y78 AB78">
    <cfRule type="expression" dxfId="87" priority="1089">
      <formula>$AM$78=1</formula>
    </cfRule>
  </conditionalFormatting>
  <conditionalFormatting sqref="Y137:Y142 Y144:Y149 AD149">
    <cfRule type="cellIs" dxfId="86" priority="46" operator="greaterThan">
      <formula>$AQ$135</formula>
    </cfRule>
  </conditionalFormatting>
  <conditionalFormatting sqref="Y137:Y142">
    <cfRule type="expression" dxfId="85" priority="45">
      <formula>ISBLANK(Y137)</formula>
    </cfRule>
  </conditionalFormatting>
  <conditionalFormatting sqref="Y144:Y149">
    <cfRule type="expression" dxfId="84" priority="44" stopIfTrue="1">
      <formula>ISBLANK(Y144)</formula>
    </cfRule>
  </conditionalFormatting>
  <conditionalFormatting sqref="Y74:AA74">
    <cfRule type="expression" priority="165" stopIfTrue="1">
      <formula>$AM$75=2</formula>
    </cfRule>
    <cfRule type="expression" dxfId="83" priority="166">
      <formula>$AM$74=1</formula>
    </cfRule>
  </conditionalFormatting>
  <conditionalFormatting sqref="Y74:AA75 AH75:AJ75 AA120:AA133 AG120:AG133">
    <cfRule type="cellIs" priority="161" stopIfTrue="1" operator="greaterThan">
      <formula>0</formula>
    </cfRule>
  </conditionalFormatting>
  <conditionalFormatting sqref="Y75:AA75 AH75:AJ75">
    <cfRule type="expression" dxfId="82" priority="163">
      <formula>$AM$75=1</formula>
    </cfRule>
    <cfRule type="expression" priority="162" stopIfTrue="1">
      <formula>$AM$74=2</formula>
    </cfRule>
  </conditionalFormatting>
  <conditionalFormatting sqref="Y101:AB101 AH101:AK101 Y102:AA103 AH102:AJ103">
    <cfRule type="cellIs" priority="156" stopIfTrue="1" operator="greaterThan">
      <formula>0</formula>
    </cfRule>
    <cfRule type="expression" priority="155" stopIfTrue="1">
      <formula>$AS$99=2</formula>
    </cfRule>
    <cfRule type="expression" dxfId="81" priority="157">
      <formula>$AQ$99=2</formula>
    </cfRule>
  </conditionalFormatting>
  <conditionalFormatting sqref="Z33">
    <cfRule type="expression" dxfId="80" priority="1922">
      <formula>$AM$33=2</formula>
    </cfRule>
    <cfRule type="cellIs" priority="1921" stopIfTrue="1" operator="greaterThan">
      <formula>0</formula>
    </cfRule>
  </conditionalFormatting>
  <conditionalFormatting sqref="Z169:Z170">
    <cfRule type="expression" dxfId="79" priority="29">
      <formula>ISBLANK(Z169)</formula>
    </cfRule>
  </conditionalFormatting>
  <conditionalFormatting sqref="Z170">
    <cfRule type="expression" priority="28" stopIfTrue="1">
      <formula>$AM$173=2</formula>
    </cfRule>
  </conditionalFormatting>
  <conditionalFormatting sqref="Z173">
    <cfRule type="expression" dxfId="78" priority="258">
      <formula>ISBLANK(Z173)</formula>
    </cfRule>
  </conditionalFormatting>
  <conditionalFormatting sqref="Z19:AB20 Z18:AC18 AG18:AI19">
    <cfRule type="cellIs" priority="209" stopIfTrue="1" operator="greaterThan">
      <formula>0</formula>
    </cfRule>
  </conditionalFormatting>
  <conditionalFormatting sqref="Z20:AB20">
    <cfRule type="expression" priority="208" stopIfTrue="1">
      <formula>$AM$21=2</formula>
    </cfRule>
  </conditionalFormatting>
  <conditionalFormatting sqref="Z21:AB21 AG21:AI21">
    <cfRule type="expression" dxfId="77" priority="207">
      <formula>$AM$17=2</formula>
    </cfRule>
    <cfRule type="cellIs" priority="206" stopIfTrue="1" operator="greaterThan">
      <formula>0</formula>
    </cfRule>
    <cfRule type="expression" priority="205" stopIfTrue="1">
      <formula>$AM$20=2</formula>
    </cfRule>
  </conditionalFormatting>
  <conditionalFormatting sqref="Z18:AC18 AG18:AI19 Z19:AB20">
    <cfRule type="expression" dxfId="76" priority="210">
      <formula>$AM$17=2</formula>
    </cfRule>
  </conditionalFormatting>
  <conditionalFormatting sqref="AA12">
    <cfRule type="expression" dxfId="75" priority="33">
      <formula>ISBLANK(AA12)</formula>
    </cfRule>
  </conditionalFormatting>
  <conditionalFormatting sqref="AA80 AD80 AI80">
    <cfRule type="expression" dxfId="74" priority="1094">
      <formula>$AM$80=2</formula>
    </cfRule>
  </conditionalFormatting>
  <conditionalFormatting sqref="AA81 AI81">
    <cfRule type="expression" dxfId="73" priority="1098">
      <formula>$AM$81=2</formula>
    </cfRule>
  </conditionalFormatting>
  <conditionalFormatting sqref="AA84 AI84">
    <cfRule type="expression" dxfId="72" priority="1102">
      <formula>$AM$84=2</formula>
    </cfRule>
  </conditionalFormatting>
  <conditionalFormatting sqref="AA84:AA85 AI84:AI85">
    <cfRule type="cellIs" priority="1101" stopIfTrue="1" operator="greaterThan">
      <formula>0</formula>
    </cfRule>
  </conditionalFormatting>
  <conditionalFormatting sqref="AA85 AI85">
    <cfRule type="expression" dxfId="71" priority="1106">
      <formula>$AM$85=2</formula>
    </cfRule>
  </conditionalFormatting>
  <conditionalFormatting sqref="AA87 AI87">
    <cfRule type="expression" dxfId="70" priority="1110">
      <formula>$AM$87=2</formula>
    </cfRule>
  </conditionalFormatting>
  <conditionalFormatting sqref="AA87:AA89 AI87:AI89">
    <cfRule type="cellIs" priority="30" stopIfTrue="1" operator="greaterThan">
      <formula>0</formula>
    </cfRule>
  </conditionalFormatting>
  <conditionalFormatting sqref="AA88 AI88">
    <cfRule type="expression" dxfId="69" priority="1114">
      <formula>$AM$88=2</formula>
    </cfRule>
  </conditionalFormatting>
  <conditionalFormatting sqref="AA89 AI89">
    <cfRule type="expression" dxfId="68" priority="31">
      <formula>$AM$89=2</formula>
    </cfRule>
  </conditionalFormatting>
  <conditionalFormatting sqref="AA99 AE99">
    <cfRule type="expression" dxfId="67" priority="160">
      <formula>$AP$99=1</formula>
    </cfRule>
    <cfRule type="cellIs" priority="159" stopIfTrue="1" operator="greaterThan">
      <formula>0</formula>
    </cfRule>
  </conditionalFormatting>
  <conditionalFormatting sqref="AA120">
    <cfRule type="expression" priority="251" stopIfTrue="1">
      <formula>$AM$120=1</formula>
    </cfRule>
  </conditionalFormatting>
  <conditionalFormatting sqref="AA121 AG121">
    <cfRule type="expression" dxfId="66" priority="1132">
      <formula>$AP$121=2</formula>
    </cfRule>
  </conditionalFormatting>
  <conditionalFormatting sqref="AA122 AG122">
    <cfRule type="expression" dxfId="65" priority="1136">
      <formula>$AP$122=2</formula>
    </cfRule>
  </conditionalFormatting>
  <conditionalFormatting sqref="AA123 AG123">
    <cfRule type="expression" dxfId="64" priority="1140">
      <formula>$AP$123=2</formula>
    </cfRule>
  </conditionalFormatting>
  <conditionalFormatting sqref="AA124 AG124">
    <cfRule type="expression" dxfId="63" priority="1144">
      <formula>$AP$124=2</formula>
    </cfRule>
  </conditionalFormatting>
  <conditionalFormatting sqref="AA125 AG125">
    <cfRule type="expression" dxfId="62" priority="1148">
      <formula>$AP$125=2</formula>
    </cfRule>
  </conditionalFormatting>
  <conditionalFormatting sqref="AA126 AG126">
    <cfRule type="expression" dxfId="61" priority="1152">
      <formula>$AP$126=2</formula>
    </cfRule>
  </conditionalFormatting>
  <conditionalFormatting sqref="AA127">
    <cfRule type="expression" dxfId="60" priority="1168">
      <formula>$AP$127=2</formula>
    </cfRule>
  </conditionalFormatting>
  <conditionalFormatting sqref="AA128">
    <cfRule type="expression" dxfId="59" priority="1172">
      <formula>$AP$128=2</formula>
    </cfRule>
  </conditionalFormatting>
  <conditionalFormatting sqref="AA129">
    <cfRule type="expression" dxfId="58" priority="1176">
      <formula>$AP$129=2</formula>
    </cfRule>
  </conditionalFormatting>
  <conditionalFormatting sqref="AA130 AG130">
    <cfRule type="expression" dxfId="57" priority="1180">
      <formula>$AP$130=2</formula>
    </cfRule>
  </conditionalFormatting>
  <conditionalFormatting sqref="AA131 AG131">
    <cfRule type="expression" dxfId="56" priority="1184">
      <formula>$AP$131=2</formula>
    </cfRule>
  </conditionalFormatting>
  <conditionalFormatting sqref="AA132 AG132">
    <cfRule type="expression" dxfId="55" priority="1188">
      <formula>$AP$132=2</formula>
    </cfRule>
  </conditionalFormatting>
  <conditionalFormatting sqref="AA133 AG133">
    <cfRule type="expression" dxfId="54" priority="1192">
      <formula>$AP$133=2</formula>
    </cfRule>
  </conditionalFormatting>
  <conditionalFormatting sqref="AA185 AE185">
    <cfRule type="cellIs" priority="141" stopIfTrue="1" operator="greaterThan">
      <formula>0</formula>
    </cfRule>
    <cfRule type="expression" dxfId="53" priority="142">
      <formula>$AP$185=2</formula>
    </cfRule>
  </conditionalFormatting>
  <conditionalFormatting sqref="AA187 AE187">
    <cfRule type="cellIs" priority="127" stopIfTrue="1" operator="greaterThan">
      <formula>0</formula>
    </cfRule>
    <cfRule type="expression" dxfId="52" priority="128">
      <formula>$AP$187=2</formula>
    </cfRule>
  </conditionalFormatting>
  <conditionalFormatting sqref="AA189 AE189">
    <cfRule type="cellIs" priority="125" stopIfTrue="1" operator="greaterThan">
      <formula>0</formula>
    </cfRule>
    <cfRule type="expression" dxfId="51" priority="126">
      <formula>$AP$189=2</formula>
    </cfRule>
  </conditionalFormatting>
  <conditionalFormatting sqref="AA191 AE191">
    <cfRule type="expression" dxfId="50" priority="124">
      <formula>$AP$191=2</formula>
    </cfRule>
    <cfRule type="cellIs" priority="123" stopIfTrue="1" operator="greaterThan">
      <formula>0</formula>
    </cfRule>
  </conditionalFormatting>
  <conditionalFormatting sqref="AA193 AE193 AA195 AE195 AA197 AE197 AA199 AE199">
    <cfRule type="cellIs" priority="88" stopIfTrue="1" operator="greaterThan">
      <formula>0</formula>
    </cfRule>
    <cfRule type="expression" dxfId="49" priority="89">
      <formula>$AP193=2</formula>
    </cfRule>
  </conditionalFormatting>
  <conditionalFormatting sqref="AA201 AE201">
    <cfRule type="cellIs" priority="86" stopIfTrue="1" operator="greaterThan">
      <formula>0</formula>
    </cfRule>
    <cfRule type="expression" dxfId="48" priority="87">
      <formula>$AP$201=2</formula>
    </cfRule>
  </conditionalFormatting>
  <conditionalFormatting sqref="AA203 AE203">
    <cfRule type="cellIs" priority="90" stopIfTrue="1" operator="greaterThan">
      <formula>0</formula>
    </cfRule>
    <cfRule type="expression" dxfId="47" priority="91">
      <formula>$AP$203=2</formula>
    </cfRule>
  </conditionalFormatting>
  <conditionalFormatting sqref="AA86:AC86 AI86:AK86">
    <cfRule type="expression" dxfId="46" priority="1126">
      <formula>$AM$86=2</formula>
    </cfRule>
    <cfRule type="cellIs" priority="1125" stopIfTrue="1" operator="greaterThan">
      <formula>0</formula>
    </cfRule>
  </conditionalFormatting>
  <conditionalFormatting sqref="AA92:AI92 X93 AE93 X95:Y95">
    <cfRule type="expression" dxfId="45" priority="38">
      <formula>ISBLANK(X92)</formula>
    </cfRule>
  </conditionalFormatting>
  <conditionalFormatting sqref="AB83 Y83">
    <cfRule type="expression" dxfId="44" priority="1091">
      <formula>$AM$83=1</formula>
    </cfRule>
  </conditionalFormatting>
  <conditionalFormatting sqref="AB83">
    <cfRule type="expression" dxfId="43" priority="35">
      <formula>$AN$83=2</formula>
    </cfRule>
  </conditionalFormatting>
  <conditionalFormatting sqref="AB40:AD44 AG40:AI44 AB46:AB49 AG46:AG49 AE50:AG50">
    <cfRule type="expression" dxfId="42" priority="181">
      <formula>$AM$29=2</formula>
    </cfRule>
    <cfRule type="cellIs" priority="180" stopIfTrue="1" operator="greaterThan">
      <formula>0</formula>
    </cfRule>
  </conditionalFormatting>
  <conditionalFormatting sqref="AC23">
    <cfRule type="expression" dxfId="41" priority="1925">
      <formula>$AM$17=2</formula>
    </cfRule>
    <cfRule type="cellIs" priority="1924" stopIfTrue="1" operator="greaterThan">
      <formula>0</formula>
    </cfRule>
    <cfRule type="expression" priority="1923" stopIfTrue="1">
      <formula>$AN$23=2</formula>
    </cfRule>
  </conditionalFormatting>
  <conditionalFormatting sqref="AC26">
    <cfRule type="expression" dxfId="40" priority="2155">
      <formula>$AM$17=2</formula>
    </cfRule>
    <cfRule type="expression" priority="2154" stopIfTrue="1">
      <formula>$AM$69=2</formula>
    </cfRule>
    <cfRule type="cellIs" priority="2153" stopIfTrue="1" operator="greaterThan">
      <formula>0</formula>
    </cfRule>
  </conditionalFormatting>
  <conditionalFormatting sqref="AC65 AC68">
    <cfRule type="cellIs" priority="1780" stopIfTrue="1" operator="greaterThan">
      <formula>0</formula>
    </cfRule>
    <cfRule type="expression" priority="1781" stopIfTrue="1">
      <formula>$AM$69=2</formula>
    </cfRule>
    <cfRule type="expression" dxfId="39" priority="1782">
      <formula>$AM$29=2</formula>
    </cfRule>
  </conditionalFormatting>
  <conditionalFormatting sqref="AC222">
    <cfRule type="expression" dxfId="38" priority="104">
      <formula>ISBLANK(AC222)</formula>
    </cfRule>
  </conditionalFormatting>
  <conditionalFormatting sqref="AD6">
    <cfRule type="cellIs" dxfId="37" priority="34" operator="equal">
      <formula>0</formula>
    </cfRule>
  </conditionalFormatting>
  <conditionalFormatting sqref="AD29">
    <cfRule type="expression" dxfId="36" priority="198">
      <formula>$AM$29=2</formula>
    </cfRule>
    <cfRule type="cellIs" priority="196" stopIfTrue="1" operator="greaterThan">
      <formula>0</formula>
    </cfRule>
    <cfRule type="expression" priority="197" stopIfTrue="1">
      <formula>$AM$31=2</formula>
    </cfRule>
  </conditionalFormatting>
  <conditionalFormatting sqref="AD80 AA80:AA81 AI80:AI81">
    <cfRule type="cellIs" priority="1093" stopIfTrue="1" operator="greaterThan">
      <formula>0</formula>
    </cfRule>
  </conditionalFormatting>
  <conditionalFormatting sqref="AD111:AD112">
    <cfRule type="expression" dxfId="35" priority="338">
      <formula>ISBLANK(AD111)</formula>
    </cfRule>
  </conditionalFormatting>
  <conditionalFormatting sqref="AD115">
    <cfRule type="expression" dxfId="34" priority="397">
      <formula>ISBLANK(AD115)</formula>
    </cfRule>
    <cfRule type="cellIs" dxfId="33" priority="398" operator="lessThan">
      <formula>$J115</formula>
    </cfRule>
  </conditionalFormatting>
  <conditionalFormatting sqref="AD142">
    <cfRule type="cellIs" dxfId="32" priority="2029" operator="greaterThan">
      <formula>$AQ$135</formula>
    </cfRule>
  </conditionalFormatting>
  <conditionalFormatting sqref="AD149 Q144:Q149 U144:U149">
    <cfRule type="expression" dxfId="31" priority="83" stopIfTrue="1">
      <formula>ISBLANK(Q144)</formula>
    </cfRule>
  </conditionalFormatting>
  <conditionalFormatting sqref="AD111:AG111">
    <cfRule type="expression" dxfId="30" priority="48">
      <formula>$AS$111=3</formula>
    </cfRule>
  </conditionalFormatting>
  <conditionalFormatting sqref="AD112:AG112">
    <cfRule type="expression" dxfId="29" priority="47">
      <formula>$AS$112=3</formula>
    </cfRule>
  </conditionalFormatting>
  <conditionalFormatting sqref="AE51">
    <cfRule type="cellIs" dxfId="28" priority="177" operator="equal">
      <formula>0</formula>
    </cfRule>
    <cfRule type="expression" priority="176" stopIfTrue="1">
      <formula>$AM$29=1</formula>
    </cfRule>
  </conditionalFormatting>
  <conditionalFormatting sqref="AF7">
    <cfRule type="expression" dxfId="27" priority="147">
      <formula>ISBLANK(AF7)</formula>
    </cfRule>
  </conditionalFormatting>
  <conditionalFormatting sqref="AG120 AA120">
    <cfRule type="expression" dxfId="26" priority="1128">
      <formula>$AP$120=2</formula>
    </cfRule>
  </conditionalFormatting>
  <conditionalFormatting sqref="AG120">
    <cfRule type="expression" priority="297" stopIfTrue="1">
      <formula>$AN$120=1</formula>
    </cfRule>
  </conditionalFormatting>
  <conditionalFormatting sqref="AG127">
    <cfRule type="expression" dxfId="25" priority="1156">
      <formula>$AP$127=2</formula>
    </cfRule>
  </conditionalFormatting>
  <conditionalFormatting sqref="AG128">
    <cfRule type="expression" dxfId="24" priority="1160">
      <formula>$AP$128=2</formula>
    </cfRule>
  </conditionalFormatting>
  <conditionalFormatting sqref="AG129">
    <cfRule type="expression" dxfId="23" priority="1164">
      <formula>$AP$129=2</formula>
    </cfRule>
  </conditionalFormatting>
  <conditionalFormatting sqref="AG17:AJ17">
    <cfRule type="expression" dxfId="22" priority="212">
      <formula>$AM$17=2</formula>
    </cfRule>
    <cfRule type="cellIs" priority="211" stopIfTrue="1" operator="greaterThan">
      <formula>0</formula>
    </cfRule>
  </conditionalFormatting>
  <conditionalFormatting sqref="AG31:AK31">
    <cfRule type="expression" dxfId="21" priority="195">
      <formula>$AM$29=2</formula>
    </cfRule>
    <cfRule type="cellIs" priority="194" stopIfTrue="1" operator="greaterThan">
      <formula>0</formula>
    </cfRule>
  </conditionalFormatting>
  <conditionalFormatting sqref="AG35:AK35">
    <cfRule type="cellIs" priority="187" stopIfTrue="1" operator="greaterThan">
      <formula>0</formula>
    </cfRule>
    <cfRule type="expression" dxfId="20" priority="188">
      <formula>$AN$35=2</formula>
    </cfRule>
  </conditionalFormatting>
  <conditionalFormatting sqref="AG37:AK37">
    <cfRule type="cellIs" priority="182" stopIfTrue="1" operator="greaterThan">
      <formula>0</formula>
    </cfRule>
    <cfRule type="expression" dxfId="19" priority="183">
      <formula>$AN$37=2</formula>
    </cfRule>
  </conditionalFormatting>
  <conditionalFormatting sqref="AG57:AK58">
    <cfRule type="cellIs" dxfId="18" priority="233" operator="equal">
      <formula>0</formula>
    </cfRule>
  </conditionalFormatting>
  <conditionalFormatting sqref="AG107:AK108">
    <cfRule type="cellIs" dxfId="17" priority="232" operator="equal">
      <formula>0</formula>
    </cfRule>
  </conditionalFormatting>
  <conditionalFormatting sqref="AG154:AK155">
    <cfRule type="cellIs" dxfId="16" priority="221" operator="equal">
      <formula>0</formula>
    </cfRule>
  </conditionalFormatting>
  <conditionalFormatting sqref="AG171:AK171">
    <cfRule type="expression" dxfId="15" priority="256">
      <formula>ISBLANK(AG171)</formula>
    </cfRule>
  </conditionalFormatting>
  <conditionalFormatting sqref="AG207:AK208">
    <cfRule type="cellIs" dxfId="14" priority="152" operator="equal">
      <formula>0</formula>
    </cfRule>
  </conditionalFormatting>
  <conditionalFormatting sqref="AH29">
    <cfRule type="expression" dxfId="13" priority="115">
      <formula>$AM$29=2</formula>
    </cfRule>
    <cfRule type="expression" priority="114" stopIfTrue="1">
      <formula>$AM$31=2</formula>
    </cfRule>
    <cfRule type="cellIs" priority="113" stopIfTrue="1" operator="greaterThan">
      <formula>0</formula>
    </cfRule>
  </conditionalFormatting>
  <conditionalFormatting sqref="AH73">
    <cfRule type="expression" dxfId="12" priority="320">
      <formula>ISBLANK(AH73)</formula>
    </cfRule>
  </conditionalFormatting>
  <conditionalFormatting sqref="AH137:AH142">
    <cfRule type="expression" dxfId="11" priority="78">
      <formula>$AO137=1</formula>
    </cfRule>
    <cfRule type="expression" dxfId="10" priority="77">
      <formula>$AN137=1</formula>
    </cfRule>
    <cfRule type="expression" dxfId="9" priority="50">
      <formula>$AM137=1</formula>
    </cfRule>
  </conditionalFormatting>
  <conditionalFormatting sqref="AH144:AH149">
    <cfRule type="expression" dxfId="8" priority="2032">
      <formula>$AS144=1</formula>
    </cfRule>
    <cfRule type="expression" dxfId="7" priority="2033">
      <formula>$AQ144=1</formula>
    </cfRule>
    <cfRule type="expression" dxfId="6" priority="2034">
      <formula>$AR144=1</formula>
    </cfRule>
    <cfRule type="expression" dxfId="5" priority="49">
      <formula>ISBLANK(AH144)</formula>
    </cfRule>
  </conditionalFormatting>
  <conditionalFormatting sqref="AI23:AI24 Y24:AB24">
    <cfRule type="expression" priority="202" stopIfTrue="1">
      <formula>$AM$23=2</formula>
    </cfRule>
    <cfRule type="cellIs" priority="203" stopIfTrue="1" operator="greaterThan">
      <formula>0</formula>
    </cfRule>
    <cfRule type="expression" dxfId="4" priority="204">
      <formula>$AM$17=2</formula>
    </cfRule>
  </conditionalFormatting>
  <conditionalFormatting sqref="AI26 Z27 AH27 AI65 Z66 AH66">
    <cfRule type="cellIs" priority="173" stopIfTrue="1" operator="greaterThan">
      <formula>0</formula>
    </cfRule>
    <cfRule type="expression" dxfId="3" priority="175">
      <formula>$AM$17=2</formula>
    </cfRule>
    <cfRule type="expression" priority="174" stopIfTrue="1">
      <formula>$AM$65=2</formula>
    </cfRule>
  </conditionalFormatting>
  <conditionalFormatting sqref="AI68:AI69 Z69">
    <cfRule type="cellIs" priority="167" stopIfTrue="1" operator="greaterThan">
      <formula>0</formula>
    </cfRule>
    <cfRule type="expression" priority="168" stopIfTrue="1">
      <formula>$AM$68=2</formula>
    </cfRule>
    <cfRule type="expression" dxfId="2" priority="169">
      <formula>$AM$29=2</formula>
    </cfRule>
  </conditionalFormatting>
  <conditionalFormatting sqref="AI95 AF95">
    <cfRule type="expression" dxfId="1" priority="37">
      <formula>$AN$95=1</formula>
    </cfRule>
  </conditionalFormatting>
  <conditionalFormatting sqref="AI95">
    <cfRule type="expression" dxfId="0" priority="36">
      <formula>$AO$95=2</formula>
    </cfRule>
  </conditionalFormatting>
  <dataValidations count="2">
    <dataValidation type="list" allowBlank="1" showInputMessage="1" showErrorMessage="1" sqref="AH101:AK101 AG18:AI18 AH73:AK73 W80:Y81 W84:Y89" xr:uid="{724CB3B4-1DEF-4419-A255-33C7CE50E61F}">
      <formula1>Shape</formula1>
    </dataValidation>
    <dataValidation type="list" allowBlank="1" showInputMessage="1" showErrorMessage="1" sqref="Z18:AC18 Z27:AC27 Z66:AC66 Z69:AC69 Y73:AB73 Y101:AB101 Y24:AB24" xr:uid="{F21227C0-CA23-4C9C-97B1-1AF25B7CE2F3}">
      <formula1>Material</formula1>
    </dataValidation>
  </dataValidations>
  <pageMargins left="0.2" right="0.2" top="0.5" bottom="0.25" header="0.3" footer="0.3"/>
  <pageSetup orientation="portrait" r:id="rId1"/>
  <rowBreaks count="4" manualBreakCount="4">
    <brk id="56" max="16383" man="1"/>
    <brk id="106" max="16383" man="1"/>
    <brk id="153" max="16383" man="1"/>
    <brk id="206" max="16383" man="1"/>
  </rowBreaks>
  <colBreaks count="1" manualBreakCount="1">
    <brk id="46" max="1048575" man="1"/>
  </colBreaks>
  <drawing r:id="rId2"/>
  <legacyDrawing r:id="rId3"/>
  <legacyDrawingHF r:id="rId4"/>
  <extLst>
    <ext xmlns:x14="http://schemas.microsoft.com/office/spreadsheetml/2009/9/main" uri="{CCE6A557-97BC-4b89-ADB6-D9C93CAAB3DF}">
      <x14:dataValidations xmlns:xm="http://schemas.microsoft.com/office/excel/2006/main" count="4">
        <x14:dataValidation type="list" allowBlank="1" showInputMessage="1" showErrorMessage="1" xr:uid="{51C0DC14-5C5B-497E-ADE8-E14CEC9C6FC0}">
          <x14:formula1>
            <xm:f>Tables!$D$2:$D$10</xm:f>
          </x14:formula1>
          <xm:sqref>E73</xm:sqref>
        </x14:dataValidation>
        <x14:dataValidation type="list" allowBlank="1" showInputMessage="1" showErrorMessage="1" xr:uid="{15328467-34E1-4429-BBED-E9EF3D4805F6}">
          <x14:formula1>
            <xm:f>Tables!$F$2:$F$7</xm:f>
          </x14:formula1>
          <xm:sqref>X96:Y96 H64 H57:H58 W57:Y58 W82:Y82 W64:Y64 W90:W96 X90:Y92 X94:Y94 H90:H93 H95:H96</xm:sqref>
        </x14:dataValidation>
        <x14:dataValidation type="list" allowBlank="1" showInputMessage="1" showErrorMessage="1" xr:uid="{C1260947-8967-4DEC-A2DF-EC3F14B0DA84}">
          <x14:formula1>
            <xm:f>Tables!$H$9:$H$14</xm:f>
          </x14:formula1>
          <xm:sqref>AA92:AI92</xm:sqref>
        </x14:dataValidation>
        <x14:dataValidation type="custom" allowBlank="1" showInputMessage="1" showErrorMessage="1" errorTitle="Workbook Locked" error="On the License Tab, accept the conditions to use this form._x000a__x000a_                     OR_x000a__x000a_This form has expired.  Please obtain the latest version of this form." xr:uid="{42E427F6-1C52-4E22-80A3-CECE43628099}">
          <x14:formula1>
            <xm:f>Tables!$B$8</xm:f>
          </x14:formula1>
          <xm:sqref>AF7:AK7 U17 AG17:AJ17 Z19:AB21 AG19:AI19 AG21:AI21 AC23 AI23:AJ24 AC26 AI26:AJ26 AH27:AJ27 AD29 AH29 V31 Z31 AG31:AK31 V33 Z33:AK33 Y35 Y37 AB37 AB35 AG35:AK35 AG37:AK37 AB40:AD44 AG40:AI44 AB46:AD49 AG46:AI49 AE50:AG51 V61:X63 Z61:AA63 AD61:AF63 AI61:AJ63 AC65 AI65:AJ65 AH66:AJ66 AC68 AI68:AJ69 Y74:AA76 AH75:AJ76 Y78 AB78 AA80:AC81 AE80:AG81 AI80:AK81 Y83 AB83 AA99 AE99 Y102:AA103 AH102:AJ103 AD111:AG112 AD6 X95:Y95 AD115:AF115 AF95 AI95 V120:X133 AA120:AD133 AG120:AJ133 I144:K149 M144:O149 Q144:S149 U144:W149 Y144:AB149 AE93 AH144:AK149 F167:V171 Z169:AC169 AH169:AK169 AG171:AK171 Z173 F174:V178 Z176:AC176 AH176:AK176 AI84:AK89 AG178:AK178 E183 G183 E185 G185 E187 G187 G189 E189 E191 G191 G193 E193 E195 G195 G197 E197 E199 G199 G201 E201 E203 G203 Z170 AA185 AA187 AA189 AA191 AA193 AA195 AA197 AA199 AA201 AE201 AE199 AE197 AE195 AE193 AE191 AE189 AE187 AE185 AA203 E215:Y217 E218:K218 O218:R218 W218:Y218 E219:Y219 E220:I220 AC222:AG222 G10 O10 AA10 AD149:AF149 AA84:AC89 AE84:AG89 Z177 AE203 C187 C189 C191 C193 C195 C197 C199 B157:AK164 G12 AA12 U29</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License</vt:lpstr>
      <vt:lpstr>General Instructions</vt:lpstr>
      <vt:lpstr>Form 2C.1 - Design</vt:lpstr>
      <vt:lpstr>Form 3C - As-built</vt:lpstr>
      <vt:lpstr>Material</vt:lpstr>
      <vt:lpstr>'Form 2C.1 - Design'!Print_Area</vt:lpstr>
      <vt:lpstr>'Form 3C - As-built'!Print_Area</vt:lpstr>
      <vt:lpstr>'Form 2C.1 - Design'!Print_Titles</vt:lpstr>
      <vt:lpstr>'Form 3C - As-built'!Print_Titles</vt:lpstr>
      <vt:lpstr>Shape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Dewayne Smith</dc:creator>
  <cp:lastModifiedBy>Dewayne Smith</cp:lastModifiedBy>
  <cp:lastPrinted>2026-09-05T00:20:18Z</cp:lastPrinted>
  <dcterms:created xsi:type="dcterms:W3CDTF">2021-11-21T16:55:43Z</dcterms:created>
  <dcterms:modified xsi:type="dcterms:W3CDTF">2026-09-06T15:34:15Z</dcterms:modified>
</cp:coreProperties>
</file>