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HYDRO\PROJECTS\Prattville\2026\B - Post Const\Forms\2025-10-01 (P)\"/>
    </mc:Choice>
  </mc:AlternateContent>
  <xr:revisionPtr revIDLastSave="0" documentId="13_ncr:1_{C639E302-49E7-4120-B97A-7E499CF9261B}" xr6:coauthVersionLast="47" xr6:coauthVersionMax="47" xr10:uidLastSave="{00000000-0000-0000-0000-000000000000}"/>
  <workbookProtection workbookAlgorithmName="SHA-512" workbookHashValue="640Y/mdHLDFJCF51qw94FNHDbdhvfnedbcYDkYpBBj3nCUb7GGJ65QbiBdkGujXaAs82wqoi8kEczwjGz1eXOg==" workbookSaltValue="5aZUhoAEoObcLGlWEuyyDA==" workbookSpinCount="100000" lockStructure="1"/>
  <bookViews>
    <workbookView xWindow="-14685" yWindow="-16320" windowWidth="29040" windowHeight="15720" tabRatio="703" firstSheet="1" activeTab="1" xr2:uid="{994EC860-6224-46C4-B304-9868EEFCD4CE}"/>
  </bookViews>
  <sheets>
    <sheet name="Tables" sheetId="2" state="veryHidden" r:id="rId1"/>
    <sheet name="License" sheetId="7" r:id="rId2"/>
    <sheet name="From 2.3 - Additional Basins" sheetId="5" r:id="rId3"/>
  </sheets>
  <definedNames>
    <definedName name="Logo">INDEX(Tables!$F$40:$F$45,MATCH(Tables!$F$14,Tables!$E$40:$E$45,0))</definedName>
    <definedName name="Material">Tables!$D$2:$D$10</definedName>
    <definedName name="_xlnm.Print_Area" localSheetId="2">'From 2.3 - Additional Basins'!$A$1:$AK$51</definedName>
    <definedName name="_xlnm.Print_Titles" localSheetId="2">'From 2.3 - Additional Basins'!$1:$4</definedName>
    <definedName name="Shape">Tables!$F$2:$F$11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5" l="1"/>
  <c r="J42" i="5"/>
  <c r="F42" i="5"/>
  <c r="J41" i="5"/>
  <c r="F41" i="5"/>
  <c r="J40" i="5"/>
  <c r="F40" i="5"/>
  <c r="J39" i="5"/>
  <c r="F39" i="5"/>
  <c r="J38" i="5"/>
  <c r="F38" i="5"/>
  <c r="J37" i="5"/>
  <c r="F37" i="5"/>
  <c r="AF32" i="5"/>
  <c r="AB32" i="5"/>
  <c r="X32" i="5"/>
  <c r="T32" i="5"/>
  <c r="P32" i="5"/>
  <c r="L32" i="5"/>
  <c r="J29" i="5"/>
  <c r="F29" i="5"/>
  <c r="J28" i="5"/>
  <c r="F28" i="5"/>
  <c r="J27" i="5"/>
  <c r="F27" i="5"/>
  <c r="J26" i="5"/>
  <c r="F26" i="5"/>
  <c r="J25" i="5"/>
  <c r="F25" i="5"/>
  <c r="J24" i="5"/>
  <c r="F24" i="5"/>
  <c r="AF19" i="5"/>
  <c r="AB19" i="5"/>
  <c r="X19" i="5"/>
  <c r="T19" i="5"/>
  <c r="P19" i="5"/>
  <c r="L19" i="5"/>
  <c r="AM16" i="5"/>
  <c r="AL16" i="5"/>
  <c r="AN12" i="5"/>
  <c r="AM12" i="5"/>
  <c r="AL12" i="5"/>
  <c r="AL10" i="5"/>
  <c r="AQ6" i="5"/>
  <c r="AO6" i="5"/>
  <c r="AQ5" i="5"/>
  <c r="AO5" i="5"/>
  <c r="AQ4" i="5"/>
  <c r="AO4" i="5"/>
  <c r="AQ3" i="5"/>
  <c r="AO3" i="5"/>
  <c r="AQ2" i="5"/>
  <c r="AO2" i="5"/>
  <c r="F32" i="7"/>
  <c r="F29" i="7"/>
  <c r="F22" i="7"/>
  <c r="F13" i="7"/>
  <c r="F7" i="7"/>
  <c r="O2" i="7"/>
  <c r="A2" i="7"/>
  <c r="O1" i="7"/>
  <c r="F39" i="2"/>
  <c r="F38" i="2"/>
  <c r="F37" i="2"/>
  <c r="F36" i="2"/>
  <c r="F35" i="2"/>
  <c r="F34" i="2"/>
  <c r="F33" i="2"/>
  <c r="F32" i="2"/>
  <c r="F31" i="2"/>
  <c r="F30" i="2"/>
  <c r="F29" i="2"/>
  <c r="F28" i="2"/>
  <c r="E28" i="2"/>
  <c r="F27" i="2"/>
  <c r="F26" i="2"/>
  <c r="F25" i="2"/>
  <c r="F24" i="2"/>
  <c r="K23" i="2"/>
  <c r="F23" i="2"/>
  <c r="R22" i="2"/>
  <c r="Q22" i="2"/>
  <c r="P22" i="2"/>
  <c r="O22" i="2"/>
  <c r="N22" i="2"/>
  <c r="M22" i="2"/>
  <c r="K22" i="2"/>
  <c r="F22" i="2"/>
  <c r="K21" i="2"/>
  <c r="J21" i="2"/>
  <c r="F21" i="2"/>
  <c r="K20" i="2"/>
  <c r="F20" i="2"/>
  <c r="R19" i="2"/>
  <c r="Q19" i="2"/>
  <c r="P19" i="2"/>
  <c r="O19" i="2"/>
  <c r="N19" i="2"/>
  <c r="M19" i="2"/>
  <c r="K19" i="2"/>
  <c r="F19" i="2"/>
  <c r="K18" i="2"/>
  <c r="J18" i="2"/>
  <c r="F18" i="2"/>
  <c r="K17" i="2"/>
  <c r="F17" i="2"/>
  <c r="K16" i="2"/>
  <c r="J16" i="2"/>
  <c r="F16" i="2"/>
  <c r="K15" i="2"/>
  <c r="G15" i="2"/>
  <c r="F15" i="2"/>
  <c r="K14" i="2"/>
  <c r="J14" i="2"/>
  <c r="K13" i="2"/>
  <c r="J13" i="2"/>
  <c r="K12" i="2"/>
  <c r="K11" i="2"/>
  <c r="K10" i="2"/>
  <c r="K9" i="2"/>
  <c r="K8" i="2"/>
  <c r="K7" i="2"/>
  <c r="B7" i="2"/>
  <c r="B8" i="2" s="1"/>
  <c r="K6" i="2"/>
  <c r="J6" i="2"/>
  <c r="B6" i="2"/>
  <c r="K5" i="2"/>
  <c r="K4" i="2"/>
  <c r="K3" i="2"/>
  <c r="K2" i="2"/>
  <c r="B2" i="2"/>
  <c r="F3" i="7" l="1"/>
  <c r="A3" i="7" s="1"/>
  <c r="AQ7" i="5"/>
  <c r="AO7" i="5"/>
  <c r="P1" i="5" s="1"/>
  <c r="AO12" i="5"/>
  <c r="I34" i="5" s="1"/>
  <c r="I2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BDS</author>
  </authors>
  <commentList>
    <comment ref="E8" authorId="0" shapeId="0" xr:uid="{C55CD238-061E-45BF-9434-22A13911FAA3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Enter street address of proposed development.</t>
        </r>
      </text>
    </comment>
    <comment ref="AE8" authorId="0" shapeId="0" xr:uid="{6ACC92AC-F9DB-4E47-9AB4-9A57569D4C7D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Provide a unique BMP ID
Examples:
   Pond 1
   Pond A
   1
   A</t>
        </r>
      </text>
    </comment>
    <comment ref="L20" authorId="0" shapeId="0" xr:uid="{3F9BE702-D5F7-4AE3-BE6F-74ACC431F33A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Enter a unique Basin ID for each subbasin</t>
        </r>
      </text>
    </comment>
    <comment ref="L33" authorId="0" shapeId="0" xr:uid="{9DF27810-DD88-4DEF-A7C8-91C2F04AEFA3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Enter a unique Basin ID for each subbasin.  If there are more than 5 subbasins, enter the information for each subasin entering into the detention pond.</t>
        </r>
      </text>
    </comment>
  </commentList>
</comments>
</file>

<file path=xl/sharedStrings.xml><?xml version="1.0" encoding="utf-8"?>
<sst xmlns="http://schemas.openxmlformats.org/spreadsheetml/2006/main" count="278" uniqueCount="210">
  <si>
    <t>Development Information</t>
  </si>
  <si>
    <t>Pre-Development</t>
  </si>
  <si>
    <t>Curve Number:</t>
  </si>
  <si>
    <t>(WQ)</t>
  </si>
  <si>
    <t>(2-yr)</t>
  </si>
  <si>
    <t>(5-yr)</t>
  </si>
  <si>
    <t>(10-yr)</t>
  </si>
  <si>
    <t>(25-yr)</t>
  </si>
  <si>
    <t>(100-yr)</t>
  </si>
  <si>
    <t>Post-Development</t>
  </si>
  <si>
    <t>Material</t>
  </si>
  <si>
    <t>Concrete</t>
  </si>
  <si>
    <t>Metal</t>
  </si>
  <si>
    <t>HDPP</t>
  </si>
  <si>
    <t>PVC</t>
  </si>
  <si>
    <t>HDPE</t>
  </si>
  <si>
    <t>Other</t>
  </si>
  <si>
    <t>Shape</t>
  </si>
  <si>
    <t>Basin ID:</t>
  </si>
  <si>
    <t>Time of Concentration (min):</t>
  </si>
  <si>
    <t>Type</t>
  </si>
  <si>
    <t>Riprap</t>
  </si>
  <si>
    <t>Earthen</t>
  </si>
  <si>
    <t>Geotextile</t>
  </si>
  <si>
    <t>Total Post Q &gt; Pre Q</t>
  </si>
  <si>
    <t>Post Total not completed</t>
  </si>
  <si>
    <t>Design Response</t>
  </si>
  <si>
    <t>Emergency Spillway Section not completed</t>
  </si>
  <si>
    <t>Latitude and/or Longitude not provided</t>
  </si>
  <si>
    <t xml:space="preserve"> O&amp;M Agreement</t>
  </si>
  <si>
    <t xml:space="preserve">Name: </t>
  </si>
  <si>
    <t xml:space="preserve">Address: </t>
  </si>
  <si>
    <t>No</t>
  </si>
  <si>
    <r>
      <t>WQ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Required &gt; WQ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Provided</t>
    </r>
  </si>
  <si>
    <t>Montgomery</t>
  </si>
  <si>
    <t>Hoover</t>
  </si>
  <si>
    <t>Prattville</t>
  </si>
  <si>
    <t>Mobile</t>
  </si>
  <si>
    <t xml:space="preserve">Select City: </t>
  </si>
  <si>
    <t xml:space="preserve">Date: </t>
  </si>
  <si>
    <t xml:space="preserve">BMP ID: </t>
  </si>
  <si>
    <t>Yes</t>
  </si>
  <si>
    <t>Round</t>
  </si>
  <si>
    <t>Rectangle</t>
  </si>
  <si>
    <t>Square</t>
  </si>
  <si>
    <t>Trapezoid</t>
  </si>
  <si>
    <t>Jefferson</t>
  </si>
  <si>
    <t>City</t>
  </si>
  <si>
    <t>County</t>
  </si>
  <si>
    <t>Type:</t>
  </si>
  <si>
    <t>1 July 2018</t>
  </si>
  <si>
    <t>1 October 2015</t>
  </si>
  <si>
    <t>1 October 2020</t>
  </si>
  <si>
    <t>1 February 2020</t>
  </si>
  <si>
    <t>Effective Date:</t>
  </si>
  <si>
    <t>Entity Type:</t>
  </si>
  <si>
    <t>Maintenance Agreement:</t>
  </si>
  <si>
    <t xml:space="preserve"> Covenant</t>
  </si>
  <si>
    <t>Current Logo</t>
  </si>
  <si>
    <t>Freeboard  &lt;  1.0 ft</t>
  </si>
  <si>
    <t xml:space="preserve">Select: </t>
  </si>
  <si>
    <t xml:space="preserve">Orifice: </t>
  </si>
  <si>
    <t xml:space="preserve">None: </t>
  </si>
  <si>
    <t>Pre Total not completed</t>
  </si>
  <si>
    <t>V-notch</t>
  </si>
  <si>
    <t>Permit Type:</t>
  </si>
  <si>
    <t>Max Velocity:</t>
  </si>
  <si>
    <t>Lookup Table</t>
  </si>
  <si>
    <t>Engineering or Building No.</t>
  </si>
  <si>
    <t xml:space="preserve">Weir: </t>
  </si>
  <si>
    <t>ENG No.</t>
  </si>
  <si>
    <t>Inspe Report Due:</t>
  </si>
  <si>
    <t>30 Septbember</t>
  </si>
  <si>
    <t>1 September</t>
  </si>
  <si>
    <t>Arch</t>
  </si>
  <si>
    <t>Elliptical</t>
  </si>
  <si>
    <t>(50-yr)</t>
  </si>
  <si>
    <t>Storms:</t>
  </si>
  <si>
    <t>Insp Report Due:</t>
  </si>
  <si>
    <t>2, 5, 10, 25, 50, and 100</t>
  </si>
  <si>
    <r>
      <t>Total Post Q is &lt; -0.50 ft</t>
    </r>
    <r>
      <rPr>
        <vertAlign val="superscript"/>
        <sz val="10.8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/s of Pre Q</t>
    </r>
  </si>
  <si>
    <t xml:space="preserve"> ac</t>
  </si>
  <si>
    <t xml:space="preserve"> sq-ft</t>
  </si>
  <si>
    <r>
      <t>Peak Discharge (ft</t>
    </r>
    <r>
      <rPr>
        <vertAlign val="superscript"/>
        <sz val="8"/>
        <color theme="1"/>
        <rFont val="Calibri"/>
        <family val="2"/>
      </rPr>
      <t>3</t>
    </r>
    <r>
      <rPr>
        <sz val="10"/>
        <color theme="1"/>
        <rFont val="Calibri"/>
        <family val="2"/>
        <scheme val="minor"/>
      </rPr>
      <t>/s)</t>
    </r>
  </si>
  <si>
    <t xml:space="preserve">Hydrologic Soil Group: </t>
  </si>
  <si>
    <t xml:space="preserve"> A</t>
  </si>
  <si>
    <t xml:space="preserve"> B</t>
  </si>
  <si>
    <t xml:space="preserve"> C</t>
  </si>
  <si>
    <t xml:space="preserve"> D</t>
  </si>
  <si>
    <t>Known Flooding Req:</t>
  </si>
  <si>
    <t>No. Storms:</t>
  </si>
  <si>
    <t>31 December</t>
  </si>
  <si>
    <t>All required photographs are not provided</t>
  </si>
  <si>
    <t>T-shape</t>
  </si>
  <si>
    <t>Known Flooding Storm:</t>
  </si>
  <si>
    <t>Adj Property Req:</t>
  </si>
  <si>
    <t>Adj Property Storm:</t>
  </si>
  <si>
    <t xml:space="preserve">Select Area Units: </t>
  </si>
  <si>
    <t>Units Check</t>
  </si>
  <si>
    <t xml:space="preserve">Drainage Area </t>
  </si>
  <si>
    <t>Latitude and/or Longitude has been entered as text.  Change to a number.</t>
  </si>
  <si>
    <t xml:space="preserve">Parcel No.: </t>
  </si>
  <si>
    <t>Parcel No. has not been provided</t>
  </si>
  <si>
    <t>Agreement Type:</t>
  </si>
  <si>
    <t>Known Flooding Storm &lt;:</t>
  </si>
  <si>
    <t>Adj Property Storm&lt;:</t>
  </si>
  <si>
    <t>5, 10, 25, 50, and 100</t>
  </si>
  <si>
    <t>10, 25, 50, and 100</t>
  </si>
  <si>
    <t>25, 50, and 100</t>
  </si>
  <si>
    <t>50 and 100</t>
  </si>
  <si>
    <t>Known or Adj Storm</t>
  </si>
  <si>
    <t>Requirements</t>
  </si>
  <si>
    <t>Known or Adj Design Storm:</t>
  </si>
  <si>
    <t>Known or Adj Design Storm&lt;:</t>
  </si>
  <si>
    <t>Question</t>
  </si>
  <si>
    <t>Outlet Protection</t>
  </si>
  <si>
    <t>Riprap apron</t>
  </si>
  <si>
    <t>Concrete flume with baffles</t>
  </si>
  <si>
    <t>Concrete box with chambers</t>
  </si>
  <si>
    <t>Concrete box with baffles</t>
  </si>
  <si>
    <t>Pre-manufactured product</t>
  </si>
  <si>
    <t>Max Stage for 2, 5, 10, 25 and/or 50-year storm  &gt; emergency spillway crest elevation</t>
  </si>
  <si>
    <t>Outlet protection section not completed</t>
  </si>
  <si>
    <t>Baldwin County</t>
  </si>
  <si>
    <t xml:space="preserve">Effective Date: </t>
  </si>
  <si>
    <t xml:space="preserve">IMPORTANT - READ BEFORE USE: </t>
  </si>
  <si>
    <t xml:space="preserve">Acceptance (required): </t>
  </si>
  <si>
    <t>I ACCEPT</t>
  </si>
  <si>
    <t>I DO NOT ACCEPT</t>
  </si>
  <si>
    <t>Acceptance Table</t>
  </si>
  <si>
    <t>Selection Required</t>
  </si>
  <si>
    <t xml:space="preserve">Administrator Code (Hidden): </t>
  </si>
  <si>
    <t xml:space="preserve">Current Status: </t>
  </si>
  <si>
    <t xml:space="preserve">Gate OK: </t>
  </si>
  <si>
    <t xml:space="preserve">Accepted Flag: </t>
  </si>
  <si>
    <t xml:space="preserve">Admin Unlock Code: </t>
  </si>
  <si>
    <t>Workbook Lock Configuration</t>
  </si>
  <si>
    <t>Version Date:</t>
  </si>
  <si>
    <t xml:space="preserve">Active Months: </t>
  </si>
  <si>
    <t xml:space="preserve">Lock Date: </t>
  </si>
  <si>
    <t xml:space="preserve">Expiration Date: </t>
  </si>
  <si>
    <t xml:space="preserve">Override LockD and Time: </t>
  </si>
  <si>
    <t xml:space="preserve">Computed Lock Date and Time: </t>
  </si>
  <si>
    <t>Slope:</t>
  </si>
  <si>
    <t>Entity:</t>
  </si>
  <si>
    <t>the City of Hoover</t>
  </si>
  <si>
    <t>Jefferson County</t>
  </si>
  <si>
    <t>the City of Mobile</t>
  </si>
  <si>
    <t>the City of Montgomery</t>
  </si>
  <si>
    <t>the City of Prattville</t>
  </si>
  <si>
    <t>Licensor grants the User a non-exclusive, non-transferable, non-sublicensable, revocable license to use the Tool soley to prepare</t>
  </si>
  <si>
    <t>submissions.  All other uses, including redistribution, public posting, training, or use for other agencies, are prohibited unless</t>
  </si>
  <si>
    <t>Ownership; No Work-for-Hire</t>
  </si>
  <si>
    <t>The Tool is licensed, not sold.  Licensor retains all right, title, and interest in and to the Tool, including all formulas, code,</t>
  </si>
  <si>
    <t>templates, and documentation.  The Tool is not a work made for hire and no implied licenses are granted.</t>
  </si>
  <si>
    <t>Restrictions</t>
  </si>
  <si>
    <t>Suspension and Termination</t>
  </si>
  <si>
    <t>Public Records Acknowledgment</t>
  </si>
  <si>
    <t>Disclaimers; Limitation of Liability</t>
  </si>
  <si>
    <t>Injunctive Relief</t>
  </si>
  <si>
    <t>Unathorized use, copying, or distribution of the Tool will cause irreparable harm for which monetary damages are inadequate;</t>
  </si>
  <si>
    <t>Licensor may seek injunctive relief in addition to other remedies.</t>
  </si>
  <si>
    <t>Acceptance</t>
  </si>
  <si>
    <t>bds958hc</t>
  </si>
  <si>
    <t xml:space="preserve">The User shall not and shall not permit others to: (a) copy, modify, decompile, or reverse-engineer the Tool; (b) remove proprietary </t>
  </si>
  <si>
    <t>Licensor may suspend immediately if the Tool is misused, compromised, or used in a manner creating security, legal, or reputational risk.</t>
  </si>
  <si>
    <t>special, consequential, or punitive damages.</t>
  </si>
  <si>
    <t>As-Built does not match Design, provide a reason in the Comments section</t>
  </si>
  <si>
    <t xml:space="preserve"> O&amp;M Plan</t>
  </si>
  <si>
    <t>a Release Agreement</t>
  </si>
  <si>
    <t>Drainage Rights</t>
  </si>
  <si>
    <t>a Spillage Agreement</t>
  </si>
  <si>
    <t>END USER LICENSE AGREEMENT (EULA)</t>
  </si>
  <si>
    <t>authorized, do not use the Tool.</t>
  </si>
  <si>
    <r>
      <t>maintaining internal records for that submittal; and (b) you have authority to bind your organization ("</t>
    </r>
    <r>
      <rPr>
        <b/>
        <sz val="12"/>
        <color theme="1"/>
        <rFont val="Calibri"/>
        <family val="2"/>
      </rPr>
      <t>User</t>
    </r>
    <r>
      <rPr>
        <sz val="12"/>
        <color theme="1"/>
        <rFont val="Calibri"/>
        <family val="2"/>
        <scheme val="minor"/>
      </rPr>
      <t>").  If you are not</t>
    </r>
  </si>
  <si>
    <t>Limited License</t>
  </si>
  <si>
    <t>agreed in writing.</t>
  </si>
  <si>
    <t>notices, logos, or watermarks; (c) bypass or disable protections; or (d) redistribute the Tool to third parties (other than submitting filled</t>
  </si>
  <si>
    <t>Upon expiration/termination, User shall stop using the Tool, but may retain archive copies of completed submissions an records</t>
  </si>
  <si>
    <t>created during the Term.</t>
  </si>
  <si>
    <t>(including templates, code, logic) remains Licensor's proprietary material and is not a public record merely by being used to creat submittions.</t>
  </si>
  <si>
    <t>No Professional Services; User Responsibility</t>
  </si>
  <si>
    <t>regulations control.  User is solely responsible for the accuracy and completeness of all data and deliverables.</t>
  </si>
  <si>
    <r>
      <t>The Tool is provided "</t>
    </r>
    <r>
      <rPr>
        <b/>
        <sz val="12"/>
        <color theme="1"/>
        <rFont val="Calibri"/>
        <family val="2"/>
      </rPr>
      <t>AS IS</t>
    </r>
    <r>
      <rPr>
        <sz val="12"/>
        <color theme="1"/>
        <rFont val="Calibri"/>
        <family val="2"/>
        <scheme val="minor"/>
      </rPr>
      <t>".  Licensor disclaims all warranties, express or implied (including merchantability, fitness for a particular</t>
    </r>
  </si>
  <si>
    <t>Feedback</t>
  </si>
  <si>
    <t>Suggestions or feedback may be used by Licensor without restriction or obligation.</t>
  </si>
  <si>
    <t>Governing Law</t>
  </si>
  <si>
    <t>This License is governed by the laws of Alabama, without regard to conflicts principles.  The exclusive venue is the state or federal</t>
  </si>
  <si>
    <t>courts located in Lee County, Alabama.</t>
  </si>
  <si>
    <t>General</t>
  </si>
  <si>
    <t>This is the entire agreement regarding the Tool, and supersedes prior or contemporaneous terms.  If any provision is unenforceable,</t>
  </si>
  <si>
    <t>it will be limited or severed to the minimum extent necessary.  User may not assign this License without Licensor's consent;</t>
  </si>
  <si>
    <t>Licensor may assign in connection with a merger, acquisition, or sale of assets.  Lecensor may issue updated version of the</t>
  </si>
  <si>
    <t>Tool subject to updated terms, use of a new version constitutes acceptance of its terms.</t>
  </si>
  <si>
    <r>
      <t>By clicking "</t>
    </r>
    <r>
      <rPr>
        <b/>
        <sz val="12"/>
        <color theme="1"/>
        <rFont val="Calibri"/>
        <family val="2"/>
      </rPr>
      <t>I ACCEPT</t>
    </r>
    <r>
      <rPr>
        <sz val="12"/>
        <color theme="1"/>
        <rFont val="Calibri"/>
        <family val="2"/>
        <scheme val="minor"/>
      </rPr>
      <t>", you agree to this License on behalf of your organization.</t>
    </r>
  </si>
  <si>
    <r>
      <t>This workbook and its embedded logic, validators, and scripts (collectively, the "</t>
    </r>
    <r>
      <rPr>
        <b/>
        <sz val="12"/>
        <color theme="1"/>
        <rFont val="Calibri"/>
        <family val="2"/>
      </rPr>
      <t>Tool</t>
    </r>
    <r>
      <rPr>
        <sz val="12"/>
        <color theme="1"/>
        <rFont val="Calibri"/>
        <family val="2"/>
        <scheme val="minor"/>
      </rPr>
      <t xml:space="preserve">") are proprietary to </t>
    </r>
    <r>
      <rPr>
        <b/>
        <sz val="12"/>
        <color theme="1"/>
        <rFont val="Calibri"/>
        <family val="2"/>
        <scheme val="minor"/>
      </rPr>
      <t>Hydro, LLC</t>
    </r>
    <r>
      <rPr>
        <sz val="12"/>
        <color theme="1"/>
        <rFont val="Calibri"/>
        <family val="2"/>
        <scheme val="minor"/>
      </rPr>
      <t xml:space="preserve"> ("</t>
    </r>
    <r>
      <rPr>
        <b/>
        <sz val="12"/>
        <color theme="1"/>
        <rFont val="Calibri"/>
        <family val="2"/>
        <scheme val="minor"/>
      </rPr>
      <t>Licensor</t>
    </r>
    <r>
      <rPr>
        <sz val="12"/>
        <color theme="1"/>
        <rFont val="Calibri"/>
        <family val="2"/>
        <scheme val="minor"/>
      </rPr>
      <t>").</t>
    </r>
  </si>
  <si>
    <t>the permitted purpose.</t>
  </si>
  <si>
    <t>purpose, and non-infringement.)  To the  Maximum extent permitted by law, Licensor will not be liable for indirect, incidental,</t>
  </si>
  <si>
    <t xml:space="preserve"> Detention Pond</t>
  </si>
  <si>
    <t xml:space="preserve"> Retention Pond</t>
  </si>
  <si>
    <t xml:space="preserve"> Underground Detention</t>
  </si>
  <si>
    <t xml:space="preserve"> Bioretention Area</t>
  </si>
  <si>
    <t xml:space="preserve"> Permeable Pavement</t>
  </si>
  <si>
    <t>Select Design Form Type (Only select one):</t>
  </si>
  <si>
    <t>Form 2A.3 - Detention Pond</t>
  </si>
  <si>
    <t>Form 2B.3 - Retention Pond</t>
  </si>
  <si>
    <t>Form 2C.3 - Underground Detention</t>
  </si>
  <si>
    <t>Form 2D.3 - Bioretention Area</t>
  </si>
  <si>
    <t>Form 2F.3 Permeable Pavement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</si>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</sst>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"/>
    <numFmt numFmtId="165" formatCode="[$-409]d\ mmmm\ yyyy;@"/>
    <numFmt numFmtId="166" formatCode="[$-409]dd\ mmmm\ yyyy;@"/>
    <numFmt numFmtId="167" formatCode="[$-409]dd\-mmm\-yy;@"/>
    <numFmt numFmtId="168" formatCode="00\ 00\ 00\ 0\ 000\ 000.000"/>
    <numFmt numFmtId="169" formatCode="yyyy\-mm\-dd\ hh:mm"/>
    <numFmt numFmtId="170" formatCode="[$-409]dd\ mmmm\ yyyy\ h:mm\ AM/PM;@"/>
    <numFmt numFmtId="171" formatCode="0\)"/>
    <numFmt numFmtId="172" formatCode="0.0"/>
  </numFmts>
  <fonts count="17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0.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hair">
        <color auto="1"/>
      </left>
      <right style="thin">
        <color theme="4" tint="0.39994506668294322"/>
      </right>
      <top style="hair">
        <color auto="1"/>
      </top>
      <bottom style="hair">
        <color auto="1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quotePrefix="1" applyAlignment="1">
      <alignment vertical="center"/>
    </xf>
    <xf numFmtId="166" fontId="0" fillId="0" borderId="0" xfId="0" quotePrefix="1" applyNumberFormat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/>
    </xf>
    <xf numFmtId="169" fontId="0" fillId="0" borderId="0" xfId="0" applyNumberFormat="1"/>
    <xf numFmtId="14" fontId="0" fillId="0" borderId="0" xfId="0" applyNumberFormat="1"/>
    <xf numFmtId="0" fontId="6" fillId="0" borderId="0" xfId="0" applyFont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0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right" vertical="center"/>
    </xf>
    <xf numFmtId="0" fontId="0" fillId="5" borderId="11" xfId="0" applyFill="1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0" fontId="6" fillId="0" borderId="3" xfId="0" applyFont="1" applyBorder="1" applyAlignment="1" applyProtection="1">
      <alignment horizontal="center" vertical="center"/>
      <protection locked="0"/>
    </xf>
    <xf numFmtId="171" fontId="6" fillId="0" borderId="0" xfId="0" applyNumberFormat="1" applyFont="1" applyAlignment="1">
      <alignment horizontal="right" vertical="center"/>
    </xf>
    <xf numFmtId="171" fontId="6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72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167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1" fontId="3" fillId="0" borderId="2" xfId="0" applyNumberFormat="1" applyFont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8" fontId="3" fillId="0" borderId="1" xfId="0" applyNumberFormat="1" applyFont="1" applyBorder="1" applyAlignment="1" applyProtection="1">
      <alignment horizontal="right" vertical="center"/>
      <protection locked="0"/>
    </xf>
    <xf numFmtId="165" fontId="10" fillId="0" borderId="0" xfId="0" applyNumberFormat="1" applyFont="1" applyAlignment="1">
      <alignment horizontal="left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left" vertical="center"/>
    </xf>
  </cellXfs>
  <cellStyles count="1">
    <cellStyle name="Normal" xfId="0" builtinId="0"/>
  </cellStyles>
  <dxfs count="66"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numFmt numFmtId="173" formatCode="#,##0.0000"/>
    </dxf>
    <dxf>
      <numFmt numFmtId="3" formatCode="#,##0"/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318892</xdr:colOff>
      <xdr:row>44</xdr:row>
      <xdr:rowOff>42710</xdr:rowOff>
    </xdr:from>
    <xdr:to>
      <xdr:col>7</xdr:col>
      <xdr:colOff>1182492</xdr:colOff>
      <xdr:row>44</xdr:row>
      <xdr:rowOff>783484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3E7F6A-B6E9-41E9-A542-7BEF39FA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1272" y="9773450"/>
          <a:ext cx="863600" cy="7522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111565</xdr:colOff>
      <xdr:row>43</xdr:row>
      <xdr:rowOff>46358</xdr:rowOff>
    </xdr:from>
    <xdr:to>
      <xdr:col>5</xdr:col>
      <xdr:colOff>915474</xdr:colOff>
      <xdr:row>43</xdr:row>
      <xdr:rowOff>777410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73E453-C06D-4DD4-83A3-B9E5258D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64715" y="10428608"/>
          <a:ext cx="803909" cy="7272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155574</xdr:colOff>
      <xdr:row>40</xdr:row>
      <xdr:rowOff>53656</xdr:rowOff>
    </xdr:from>
    <xdr:to>
      <xdr:col>5</xdr:col>
      <xdr:colOff>879474</xdr:colOff>
      <xdr:row>40</xdr:row>
      <xdr:rowOff>780429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0E5F845-1F03-4F4D-B2BC-B05710AB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99" y="7978456"/>
          <a:ext cx="723900" cy="73058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113620</xdr:colOff>
      <xdr:row>42</xdr:row>
      <xdr:rowOff>40482</xdr:rowOff>
    </xdr:from>
    <xdr:to>
      <xdr:col>5</xdr:col>
      <xdr:colOff>951518</xdr:colOff>
      <xdr:row>42</xdr:row>
      <xdr:rowOff>782343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C985F67-4DC8-4915-81E3-E884CD50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66770" y="9603582"/>
          <a:ext cx="837898" cy="7418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161795</xdr:colOff>
      <xdr:row>41</xdr:row>
      <xdr:rowOff>57466</xdr:rowOff>
    </xdr:from>
    <xdr:to>
      <xdr:col>5</xdr:col>
      <xdr:colOff>895724</xdr:colOff>
      <xdr:row>41</xdr:row>
      <xdr:rowOff>778373</xdr:rowOff>
    </xdr:to>
    <xdr:pic>
      <xdr:nvPicPr>
        <xdr:cNvPr id="13" name="Picture 12" descr="Logo&#10;&#10;Description automatically generated">
          <a:extLst>
            <a:ext uri="{FF2B5EF4-FFF2-40B4-BE49-F238E27FC236}">
              <a16:creationId xmlns:a16="http://schemas.microsoft.com/office/drawing/2014/main" id="{2AC825A1-53E2-45A8-8241-FC604949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4945" y="8801416"/>
          <a:ext cx="720594" cy="72471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349576</xdr:colOff>
          <xdr:row>39</xdr:row>
          <xdr:rowOff>546</xdr:rowOff>
        </xdr:from>
        <xdr:to>
          <xdr:col>7</xdr:col>
          <xdr:colOff>1391611</xdr:colOff>
          <xdr:row>40</xdr:row>
          <xdr:rowOff>546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2C890635-FD55-45B4-91BB-696BDB8A302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Logo" spid="_x0000_s20300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tretch>
              <a:fillRect/>
            </a:stretch>
          </xdr:blipFill>
          <xdr:spPr bwMode="auto">
            <a:xfrm>
              <a:off x="3755716" y="6439446"/>
              <a:ext cx="1424940" cy="82296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xdr:twoCellAnchor editAs="oneCell">
    <xdr:from>
      <xdr:col>5</xdr:col>
      <xdr:colOff>53340</xdr:colOff>
      <xdr:row>44</xdr:row>
      <xdr:rowOff>220980</xdr:rowOff>
    </xdr:from>
    <xdr:to>
      <xdr:col>5</xdr:col>
      <xdr:colOff>1408471</xdr:colOff>
      <xdr:row>44</xdr:row>
      <xdr:rowOff>703513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5E017-A77F-4E1A-9D4E-4F0205ABE5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67" b="19271"/>
        <a:stretch/>
      </xdr:blipFill>
      <xdr:spPr>
        <a:xfrm>
          <a:off x="2034540" y="9951720"/>
          <a:ext cx="1355131" cy="495868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39</xdr:row>
      <xdr:rowOff>11430</xdr:rowOff>
    </xdr:from>
    <xdr:to>
      <xdr:col>5</xdr:col>
      <xdr:colOff>930132</xdr:colOff>
      <xdr:row>39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7AD404-B9CA-6789-3D0A-53282B17D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" t="4177" r="80564" b="40219"/>
        <a:stretch>
          <a:fillRect/>
        </a:stretch>
      </xdr:blipFill>
      <xdr:spPr bwMode="auto">
        <a:xfrm>
          <a:off x="6324600" y="7117080"/>
          <a:ext cx="762492" cy="750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43815</xdr:colOff>
      <xdr:row>49</xdr:row>
      <xdr:rowOff>40005</xdr:rowOff>
    </xdr:from>
    <xdr:to>
      <xdr:col>35</xdr:col>
      <xdr:colOff>135635</xdr:colOff>
      <xdr:row>50</xdr:row>
      <xdr:rowOff>113274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0BE7FD3-1275-479F-80D1-3C983C232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315" y="8872855"/>
          <a:ext cx="659510" cy="2637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91440</xdr:colOff>
          <xdr:row>4</xdr:row>
          <xdr:rowOff>17366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7186B492-6E70-4EE0-ADFC-D95A1F4396F1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Logo" spid="_x0000_s33280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0" y="0"/>
              <a:ext cx="1365250" cy="788891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0EFB0-EACE-4F2E-965F-30EBADAB0D63}" name="T_Material" displayName="T_Material" ref="D1:D10" totalsRowShown="0" headerRowDxfId="65" dataDxfId="64">
  <autoFilter ref="D1:D10" xr:uid="{4350EFB0-EACE-4F2E-965F-30EBADAB0D63}"/>
  <sortState xmlns:xlrd2="http://schemas.microsoft.com/office/spreadsheetml/2017/richdata2" ref="D2:D10">
    <sortCondition ref="D2:D10"/>
  </sortState>
  <tableColumns count="1">
    <tableColumn id="1" xr3:uid="{20635FEE-B87A-4613-8116-D42DBA41BC7B}" name="Material" dataDxfId="6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39741E-8EC4-48CA-B62A-CDE619601AF9}" name="T_Shape" displayName="T_Shape" ref="F1:F11" totalsRowShown="0" headerRowDxfId="62" dataDxfId="61">
  <autoFilter ref="F1:F11" xr:uid="{6939741E-8EC4-48CA-B62A-CDE619601AF9}"/>
  <sortState xmlns:xlrd2="http://schemas.microsoft.com/office/spreadsheetml/2017/richdata2" ref="F2:F11">
    <sortCondition ref="F2:F11"/>
  </sortState>
  <tableColumns count="1">
    <tableColumn id="1" xr3:uid="{FCA45FDF-4BF6-485F-9343-A0FC0251070A}" name="Shape" dataDxfId="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97A227-8DCB-4BDE-A6B8-65F88654921D}" name="T_Type" displayName="T_Type" ref="H1:H5" totalsRowShown="0" headerRowDxfId="59" dataDxfId="58">
  <autoFilter ref="H1:H5" xr:uid="{2397A227-8DCB-4BDE-A6B8-65F88654921D}"/>
  <tableColumns count="1">
    <tableColumn id="1" xr3:uid="{027BD434-05A1-4059-97D8-98CB878E91EF}" name="Type" data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C10C78-AF29-47BA-9C97-B74BAA8C7E1E}" name="T_Response" displayName="T_Response" ref="J1:J21" totalsRowShown="0" headerRowDxfId="56" dataDxfId="55">
  <autoFilter ref="J1:J21" xr:uid="{88C10C78-AF29-47BA-9C97-B74BAA8C7E1E}"/>
  <tableColumns count="1">
    <tableColumn id="1" xr3:uid="{C70FD3B5-6EE9-47D3-96F9-BC5D876984C6}" name="Design Response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261821-00BA-47C6-9966-09F0C61A53D6}" name="OP" displayName="OP" ref="H8:H14" totalsRowShown="0" headerRowDxfId="53" dataDxfId="52">
  <autoFilter ref="H8:H14" xr:uid="{DB261821-00BA-47C6-9966-09F0C61A53D6}"/>
  <tableColumns count="1">
    <tableColumn id="1" xr3:uid="{62346A3B-A68D-4C87-9BFA-2C1AE1C31679}" name="Outlet Protection" dataDxfId="5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A3E2B9A-CDE6-4AED-B4C1-3F05B3376F37}" name="Storms" displayName="Storms" ref="K26:L32" totalsRowShown="0" headerRowDxfId="50">
  <autoFilter ref="K26:L32" xr:uid="{DA3E2B9A-CDE6-4AED-B4C1-3F05B3376F37}"/>
  <tableColumns count="2">
    <tableColumn id="1" xr3:uid="{D6C0B03A-3B69-43AC-BB12-3F71109D27B6}" name="Known or Adj Storm" dataDxfId="49"/>
    <tableColumn id="2" xr3:uid="{4E43272E-4428-4B6C-A6E9-657F071A2134}" name="Requirements" dataDxfId="4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6D2F5D8-A49A-45E4-A412-5EB745DB8AB5}" name="Table7" displayName="Table7" ref="L34:L36" totalsRowShown="0" headerRowDxfId="47" dataDxfId="46">
  <autoFilter ref="L34:L36" xr:uid="{56D2F5D8-A49A-45E4-A412-5EB745DB8AB5}"/>
  <tableColumns count="1">
    <tableColumn id="1" xr3:uid="{295D3A55-D0F9-4783-BE6A-20D2256D216E}" name="Question" dataDxfId="4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D24847A-50BE-48E9-94F6-36731DFF6B41}" name="Table810" displayName="Table810" ref="B11:B14" totalsRowShown="0" headerRowDxfId="44" dataDxfId="43">
  <autoFilter ref="B11:B14" xr:uid="{2D24847A-50BE-48E9-94F6-36731DFF6B41}"/>
  <tableColumns count="1">
    <tableColumn id="1" xr3:uid="{D4488CE4-74AF-4931-9A2E-60CE8D009958}" name="Acceptance Table" dataDxfId="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CB43-2341-4A92-ACD7-244D3FF85EAC}">
  <sheetPr codeName="Sheet3">
    <tabColor rgb="FFFF0000"/>
  </sheetPr>
  <dimension ref="A1:R45"/>
  <sheetViews>
    <sheetView showGridLines="0" zoomScaleNormal="100" workbookViewId="0">
      <selection activeCell="A28" sqref="A28"/>
    </sheetView>
  </sheetViews>
  <sheetFormatPr defaultRowHeight="14.4" x14ac:dyDescent="0.3"/>
  <cols>
    <col min="1" max="1" width="29" style="13" bestFit="1" customWidth="1"/>
    <col min="2" max="2" width="25.77734375" style="13" customWidth="1"/>
    <col min="3" max="3" width="4.77734375" style="13" customWidth="1"/>
    <col min="4" max="4" width="25.44140625" style="13" bestFit="1" customWidth="1"/>
    <col min="5" max="5" width="4.77734375" style="13" customWidth="1"/>
    <col min="6" max="6" width="20.77734375" style="13" customWidth="1"/>
    <col min="7" max="7" width="5.77734375" style="13" customWidth="1"/>
    <col min="8" max="8" width="25.77734375" style="13" customWidth="1"/>
    <col min="9" max="9" width="3.77734375" style="13" customWidth="1"/>
    <col min="10" max="10" width="75.6640625" style="13" bestFit="1" customWidth="1"/>
    <col min="11" max="11" width="20" style="13" customWidth="1"/>
    <col min="12" max="12" width="22.77734375" style="13" bestFit="1" customWidth="1"/>
    <col min="13" max="13" width="25" style="13" bestFit="1" customWidth="1"/>
    <col min="14" max="15" width="20.44140625" style="13" bestFit="1" customWidth="1"/>
    <col min="16" max="16" width="25" style="13" bestFit="1" customWidth="1"/>
    <col min="17" max="18" width="20.44140625" style="13" bestFit="1" customWidth="1"/>
    <col min="19" max="16384" width="8.88671875" style="13"/>
  </cols>
  <sheetData>
    <row r="1" spans="1:18" x14ac:dyDescent="0.3">
      <c r="A1" s="86" t="s">
        <v>136</v>
      </c>
      <c r="B1" s="87"/>
      <c r="D1" s="13" t="s">
        <v>10</v>
      </c>
      <c r="F1" s="13" t="s">
        <v>17</v>
      </c>
      <c r="H1" s="13" t="s">
        <v>20</v>
      </c>
      <c r="J1" s="13" t="s">
        <v>26</v>
      </c>
      <c r="K1" s="32">
        <v>1</v>
      </c>
      <c r="L1" s="52" t="s">
        <v>67</v>
      </c>
      <c r="M1" s="52" t="s">
        <v>123</v>
      </c>
      <c r="N1" s="52" t="s">
        <v>35</v>
      </c>
      <c r="O1" s="52" t="s">
        <v>46</v>
      </c>
      <c r="P1" s="52" t="s">
        <v>37</v>
      </c>
      <c r="Q1" s="52" t="s">
        <v>34</v>
      </c>
      <c r="R1" s="52" t="s">
        <v>36</v>
      </c>
    </row>
    <row r="2" spans="1:18" x14ac:dyDescent="0.3">
      <c r="A2" s="53" t="s">
        <v>139</v>
      </c>
      <c r="B2" s="54">
        <f>EDATE(F$13,B3)</f>
        <v>46447</v>
      </c>
      <c r="C2"/>
      <c r="D2" s="13" t="s">
        <v>11</v>
      </c>
      <c r="F2" s="13" t="s">
        <v>74</v>
      </c>
      <c r="H2" s="34" t="s">
        <v>60</v>
      </c>
      <c r="J2" s="13" t="s">
        <v>63</v>
      </c>
      <c r="K2" s="32">
        <f>K1+1</f>
        <v>2</v>
      </c>
      <c r="L2" s="43" t="s">
        <v>3</v>
      </c>
      <c r="M2" s="29">
        <v>1</v>
      </c>
      <c r="N2" s="29">
        <v>1.1000000000000001</v>
      </c>
      <c r="O2" s="29">
        <v>1.1000000000000001</v>
      </c>
      <c r="P2" s="29">
        <v>1.2</v>
      </c>
      <c r="Q2" s="29">
        <v>1.1000000000000001</v>
      </c>
      <c r="R2" s="29">
        <v>1.1000000000000001</v>
      </c>
    </row>
    <row r="3" spans="1:18" x14ac:dyDescent="0.3">
      <c r="A3" s="55" t="s">
        <v>138</v>
      </c>
      <c r="B3" s="56">
        <v>12</v>
      </c>
      <c r="C3"/>
      <c r="D3" s="13" t="s">
        <v>22</v>
      </c>
      <c r="F3" s="13" t="s">
        <v>75</v>
      </c>
      <c r="H3" s="13" t="s">
        <v>61</v>
      </c>
      <c r="J3" s="13" t="s">
        <v>25</v>
      </c>
      <c r="K3" s="32">
        <f t="shared" ref="K3:K23" si="0">K2+1</f>
        <v>3</v>
      </c>
      <c r="L3" s="43" t="s">
        <v>4</v>
      </c>
      <c r="M3" s="29">
        <v>6.02</v>
      </c>
      <c r="N3" s="29">
        <v>4.1100000000000003</v>
      </c>
      <c r="O3" s="29">
        <v>4.1399999999999997</v>
      </c>
      <c r="P3" s="29">
        <v>5.7</v>
      </c>
      <c r="Q3" s="29">
        <v>4.24</v>
      </c>
      <c r="R3" s="29">
        <v>4.21</v>
      </c>
    </row>
    <row r="4" spans="1:18" x14ac:dyDescent="0.3">
      <c r="A4" s="55" t="s">
        <v>141</v>
      </c>
      <c r="B4" s="61"/>
      <c r="C4"/>
      <c r="D4" s="13" t="s">
        <v>23</v>
      </c>
      <c r="F4" s="13" t="s">
        <v>43</v>
      </c>
      <c r="H4" s="13" t="s">
        <v>69</v>
      </c>
      <c r="J4" s="13" t="s">
        <v>27</v>
      </c>
      <c r="K4" s="32">
        <f t="shared" si="0"/>
        <v>4</v>
      </c>
      <c r="L4" s="43" t="s">
        <v>5</v>
      </c>
      <c r="M4" s="29">
        <v>7.68</v>
      </c>
      <c r="N4" s="29">
        <v>5.01</v>
      </c>
      <c r="O4" s="29">
        <v>5.0599999999999996</v>
      </c>
      <c r="P4" s="29">
        <v>7.21</v>
      </c>
      <c r="Q4" s="29">
        <v>5.3</v>
      </c>
      <c r="R4" s="29">
        <v>5.24</v>
      </c>
    </row>
    <row r="5" spans="1:18" x14ac:dyDescent="0.3">
      <c r="A5" s="55" t="s">
        <v>135</v>
      </c>
      <c r="B5" s="56" t="s">
        <v>163</v>
      </c>
      <c r="C5" s="46"/>
      <c r="D5" s="13" t="s">
        <v>15</v>
      </c>
      <c r="F5" s="13" t="s">
        <v>42</v>
      </c>
      <c r="H5" s="13" t="s">
        <v>62</v>
      </c>
      <c r="J5" s="13" t="s">
        <v>24</v>
      </c>
      <c r="K5" s="32">
        <f t="shared" si="0"/>
        <v>5</v>
      </c>
      <c r="L5" s="43" t="s">
        <v>6</v>
      </c>
      <c r="M5" s="29">
        <v>9.26</v>
      </c>
      <c r="N5" s="29">
        <v>5.87</v>
      </c>
      <c r="O5" s="29">
        <v>5.91</v>
      </c>
      <c r="P5" s="29">
        <v>8.6300000000000008</v>
      </c>
      <c r="Q5" s="29">
        <v>6.24</v>
      </c>
      <c r="R5" s="29">
        <v>6.17</v>
      </c>
    </row>
    <row r="6" spans="1:18" x14ac:dyDescent="0.3">
      <c r="A6" s="55" t="s">
        <v>142</v>
      </c>
      <c r="B6" s="57">
        <f>IF(ISBLANK($B$4),$B$2,$B$4)</f>
        <v>46447</v>
      </c>
      <c r="C6"/>
      <c r="D6" s="13" t="s">
        <v>13</v>
      </c>
      <c r="F6" s="13" t="s">
        <v>44</v>
      </c>
      <c r="J6" s="13" t="str">
        <f>"Emergency Spillway Velocity &gt; "&amp;F26&amp;" ft/s"</f>
        <v>Emergency Spillway Velocity &gt; 6 ft/s</v>
      </c>
      <c r="K6" s="32">
        <f t="shared" si="0"/>
        <v>6</v>
      </c>
      <c r="L6" s="43" t="s">
        <v>7</v>
      </c>
      <c r="M6" s="29">
        <v>11.7</v>
      </c>
      <c r="N6" s="29">
        <v>7.21</v>
      </c>
      <c r="O6" s="29">
        <v>7.26</v>
      </c>
      <c r="P6" s="29">
        <v>10.8</v>
      </c>
      <c r="Q6" s="29">
        <v>7.64</v>
      </c>
      <c r="R6" s="29">
        <v>7.55</v>
      </c>
    </row>
    <row r="7" spans="1:18" x14ac:dyDescent="0.3">
      <c r="A7" s="55" t="s">
        <v>134</v>
      </c>
      <c r="B7" s="58" t="b">
        <f>IF(License!$F$2="I ACCEPT",TRUE,FALSE)</f>
        <v>0</v>
      </c>
      <c r="C7" s="47"/>
      <c r="D7" s="13" t="s">
        <v>12</v>
      </c>
      <c r="F7" s="13" t="s">
        <v>45</v>
      </c>
      <c r="J7" s="13" t="s">
        <v>121</v>
      </c>
      <c r="K7" s="32">
        <f t="shared" si="0"/>
        <v>7</v>
      </c>
      <c r="L7" s="43" t="s">
        <v>76</v>
      </c>
      <c r="M7" s="29">
        <v>13.9</v>
      </c>
      <c r="N7" s="29">
        <v>8.3699999999999992</v>
      </c>
      <c r="O7" s="29">
        <v>8.48</v>
      </c>
      <c r="P7" s="29">
        <v>12.7</v>
      </c>
      <c r="Q7" s="29">
        <v>8.8000000000000007</v>
      </c>
      <c r="R7" s="29">
        <v>8.6999999999999993</v>
      </c>
    </row>
    <row r="8" spans="1:18" x14ac:dyDescent="0.3">
      <c r="A8" s="59" t="s">
        <v>133</v>
      </c>
      <c r="B8" s="60" t="b">
        <f ca="1">OR(License!$F$4=B5, AND(B7=TRUE, NOW()&lt;B6))</f>
        <v>0</v>
      </c>
      <c r="C8"/>
      <c r="D8" s="13" t="s">
        <v>16</v>
      </c>
      <c r="F8" s="13" t="s">
        <v>93</v>
      </c>
      <c r="H8" s="13" t="s">
        <v>115</v>
      </c>
      <c r="J8" s="13" t="s">
        <v>28</v>
      </c>
      <c r="K8" s="32">
        <f t="shared" si="0"/>
        <v>8</v>
      </c>
      <c r="L8" s="43" t="s">
        <v>8</v>
      </c>
      <c r="M8" s="29">
        <v>16.3</v>
      </c>
      <c r="N8" s="29">
        <v>9.65</v>
      </c>
      <c r="O8" s="29">
        <v>9.83</v>
      </c>
      <c r="P8" s="29">
        <v>14.8</v>
      </c>
      <c r="Q8" s="29">
        <v>10</v>
      </c>
      <c r="R8" s="29">
        <v>9.93</v>
      </c>
    </row>
    <row r="9" spans="1:18" ht="15.6" x14ac:dyDescent="0.3">
      <c r="C9"/>
      <c r="D9" s="13" t="s">
        <v>14</v>
      </c>
      <c r="F9" s="13" t="s">
        <v>64</v>
      </c>
      <c r="H9" s="13" t="s">
        <v>116</v>
      </c>
      <c r="J9" s="13" t="s">
        <v>33</v>
      </c>
      <c r="K9" s="32">
        <f t="shared" si="0"/>
        <v>9</v>
      </c>
      <c r="L9" s="43" t="s">
        <v>54</v>
      </c>
      <c r="M9" s="35">
        <v>40574</v>
      </c>
      <c r="N9" s="35" t="s">
        <v>53</v>
      </c>
      <c r="O9" s="35" t="s">
        <v>52</v>
      </c>
      <c r="P9" s="35" t="s">
        <v>51</v>
      </c>
      <c r="Q9" s="35" t="s">
        <v>51</v>
      </c>
      <c r="R9" s="35" t="s">
        <v>50</v>
      </c>
    </row>
    <row r="10" spans="1:18" x14ac:dyDescent="0.3">
      <c r="D10" s="13" t="s">
        <v>21</v>
      </c>
      <c r="F10" s="13" t="s">
        <v>16</v>
      </c>
      <c r="H10" s="13" t="s">
        <v>117</v>
      </c>
      <c r="J10" s="13" t="s">
        <v>167</v>
      </c>
      <c r="K10" s="32">
        <f t="shared" si="0"/>
        <v>10</v>
      </c>
      <c r="L10" s="43" t="s">
        <v>49</v>
      </c>
      <c r="M10" s="31" t="s">
        <v>48</v>
      </c>
      <c r="N10" s="31" t="s">
        <v>47</v>
      </c>
      <c r="O10" s="31" t="s">
        <v>48</v>
      </c>
      <c r="P10" s="31" t="s">
        <v>47</v>
      </c>
      <c r="Q10" s="31" t="s">
        <v>47</v>
      </c>
      <c r="R10" s="31" t="s">
        <v>47</v>
      </c>
    </row>
    <row r="11" spans="1:18" x14ac:dyDescent="0.3">
      <c r="B11" s="13" t="s">
        <v>129</v>
      </c>
      <c r="H11" s="13" t="s">
        <v>118</v>
      </c>
      <c r="J11" s="13" t="s">
        <v>59</v>
      </c>
      <c r="K11" s="32">
        <f t="shared" si="0"/>
        <v>11</v>
      </c>
      <c r="L11" s="43" t="s">
        <v>56</v>
      </c>
      <c r="M11" s="31" t="s">
        <v>168</v>
      </c>
      <c r="N11" s="31" t="s">
        <v>57</v>
      </c>
      <c r="O11" s="31" t="s">
        <v>29</v>
      </c>
      <c r="P11" s="31" t="s">
        <v>29</v>
      </c>
      <c r="Q11" s="31" t="s">
        <v>29</v>
      </c>
      <c r="R11" s="31" t="s">
        <v>29</v>
      </c>
    </row>
    <row r="12" spans="1:18" ht="16.2" x14ac:dyDescent="0.3">
      <c r="B12" s="13" t="s">
        <v>130</v>
      </c>
      <c r="H12" s="13" t="s">
        <v>119</v>
      </c>
      <c r="J12" s="13" t="s">
        <v>80</v>
      </c>
      <c r="K12" s="32">
        <f t="shared" si="0"/>
        <v>12</v>
      </c>
      <c r="L12" s="43" t="s">
        <v>65</v>
      </c>
      <c r="M12" s="31"/>
      <c r="N12" s="31"/>
      <c r="O12" s="31"/>
      <c r="P12" s="31" t="s">
        <v>68</v>
      </c>
      <c r="Q12" s="31" t="s">
        <v>70</v>
      </c>
      <c r="R12" s="31"/>
    </row>
    <row r="13" spans="1:18" x14ac:dyDescent="0.3">
      <c r="B13" s="13" t="s">
        <v>127</v>
      </c>
      <c r="D13" s="19" t="s">
        <v>137</v>
      </c>
      <c r="F13" s="36">
        <v>46082</v>
      </c>
      <c r="H13" s="13" t="s">
        <v>120</v>
      </c>
      <c r="J13" s="13" t="str">
        <f>F25&amp;" has not been provided"</f>
        <v>0 has not been provided</v>
      </c>
      <c r="K13" s="32">
        <f t="shared" si="0"/>
        <v>13</v>
      </c>
      <c r="L13" s="43" t="s">
        <v>66</v>
      </c>
      <c r="M13" s="31">
        <v>6</v>
      </c>
      <c r="N13" s="31">
        <v>5</v>
      </c>
      <c r="O13" s="31">
        <v>5</v>
      </c>
      <c r="P13" s="31">
        <v>6</v>
      </c>
      <c r="Q13" s="31">
        <v>6</v>
      </c>
      <c r="R13" s="31">
        <v>6</v>
      </c>
    </row>
    <row r="14" spans="1:18" x14ac:dyDescent="0.3">
      <c r="B14" s="13" t="s">
        <v>128</v>
      </c>
      <c r="D14" s="19" t="s">
        <v>38</v>
      </c>
      <c r="F14" s="37" t="s">
        <v>36</v>
      </c>
      <c r="H14" s="13" t="s">
        <v>16</v>
      </c>
      <c r="J14" s="13" t="e">
        <f>"Known flooding:  "&amp;'From 2.3 - Additional Basins'!#REF!&amp;"-yr discharge &gt; "&amp;'From 2.3 - Additional Basins'!#REF!&amp;"-yr discharge"</f>
        <v>#REF!</v>
      </c>
      <c r="K14" s="32">
        <f t="shared" si="0"/>
        <v>14</v>
      </c>
      <c r="L14" s="43" t="s">
        <v>78</v>
      </c>
      <c r="M14" s="39" t="s">
        <v>91</v>
      </c>
      <c r="N14" s="39" t="s">
        <v>91</v>
      </c>
      <c r="O14" s="38"/>
      <c r="P14" s="39" t="s">
        <v>91</v>
      </c>
      <c r="Q14" s="39" t="s">
        <v>72</v>
      </c>
      <c r="R14" s="39" t="s">
        <v>73</v>
      </c>
    </row>
    <row r="15" spans="1:18" x14ac:dyDescent="0.3">
      <c r="D15" s="19" t="s">
        <v>3</v>
      </c>
      <c r="F15" s="29">
        <f>HLOOKUP($F$14,$M$1:$R$23,2)</f>
        <v>1.1000000000000001</v>
      </c>
      <c r="G15" s="31" t="str">
        <f>TEXT(F15,"0.00")</f>
        <v>1.10</v>
      </c>
      <c r="J15" s="13" t="s">
        <v>100</v>
      </c>
      <c r="K15" s="32">
        <f t="shared" si="0"/>
        <v>15</v>
      </c>
      <c r="L15" s="43" t="s">
        <v>77</v>
      </c>
      <c r="M15" s="31" t="s">
        <v>79</v>
      </c>
      <c r="N15" s="31" t="s">
        <v>79</v>
      </c>
      <c r="O15" s="31" t="s">
        <v>79</v>
      </c>
      <c r="P15" s="31" t="s">
        <v>79</v>
      </c>
      <c r="Q15" s="31" t="s">
        <v>79</v>
      </c>
      <c r="R15" s="31" t="s">
        <v>79</v>
      </c>
    </row>
    <row r="16" spans="1:18" x14ac:dyDescent="0.3">
      <c r="D16" s="19" t="s">
        <v>4</v>
      </c>
      <c r="F16" s="29">
        <f>HLOOKUP($F$14,$M$1:$R$23,3)</f>
        <v>4.21</v>
      </c>
      <c r="J16" s="13" t="e">
        <f>"Drains to adjacent property:  "&amp;'From 2.3 - Additional Basins'!#REF!&amp;"-yr discharge &gt; "&amp;'From 2.3 - Additional Basins'!#REF!&amp;"-yr discharge"</f>
        <v>#REF!</v>
      </c>
      <c r="K16" s="32">
        <f t="shared" si="0"/>
        <v>16</v>
      </c>
      <c r="L16" s="43" t="s">
        <v>90</v>
      </c>
      <c r="M16" s="31">
        <v>6</v>
      </c>
      <c r="N16" s="31">
        <v>6</v>
      </c>
      <c r="O16" s="31">
        <v>6</v>
      </c>
      <c r="P16" s="31">
        <v>6</v>
      </c>
      <c r="Q16" s="31">
        <v>6</v>
      </c>
      <c r="R16" s="31">
        <v>6</v>
      </c>
    </row>
    <row r="17" spans="4:18" x14ac:dyDescent="0.3">
      <c r="D17" s="19" t="s">
        <v>5</v>
      </c>
      <c r="F17" s="29">
        <f>HLOOKUP($F$14,$M$1:$R$23,4)</f>
        <v>5.24</v>
      </c>
      <c r="G17" s="40"/>
      <c r="J17" s="13" t="s">
        <v>92</v>
      </c>
      <c r="K17" s="32">
        <f t="shared" si="0"/>
        <v>17</v>
      </c>
      <c r="L17" s="43" t="s">
        <v>89</v>
      </c>
      <c r="M17" s="31" t="s">
        <v>32</v>
      </c>
      <c r="N17" s="31" t="s">
        <v>32</v>
      </c>
      <c r="O17" s="31" t="s">
        <v>32</v>
      </c>
      <c r="P17" s="31" t="s">
        <v>32</v>
      </c>
      <c r="Q17" s="31" t="s">
        <v>41</v>
      </c>
      <c r="R17" s="31" t="s">
        <v>32</v>
      </c>
    </row>
    <row r="18" spans="4:18" x14ac:dyDescent="0.3">
      <c r="D18" s="19" t="s">
        <v>6</v>
      </c>
      <c r="F18" s="29">
        <f>HLOOKUP($F$14,$M$1:$R$23,5)</f>
        <v>6.17</v>
      </c>
      <c r="J18" s="13" t="str">
        <f>"Outlet Control Structure Velocity &gt; "&amp;F26&amp;" ft/s"</f>
        <v>Outlet Control Structure Velocity &gt; 6 ft/s</v>
      </c>
      <c r="K18" s="32">
        <f t="shared" si="0"/>
        <v>18</v>
      </c>
      <c r="L18" s="43" t="s">
        <v>94</v>
      </c>
      <c r="M18" s="31">
        <v>2</v>
      </c>
      <c r="N18" s="31">
        <v>10</v>
      </c>
      <c r="O18" s="31">
        <v>2</v>
      </c>
      <c r="P18" s="31">
        <v>2</v>
      </c>
      <c r="Q18" s="31">
        <v>25</v>
      </c>
      <c r="R18" s="31">
        <v>25</v>
      </c>
    </row>
    <row r="19" spans="4:18" x14ac:dyDescent="0.3">
      <c r="D19" s="19" t="s">
        <v>7</v>
      </c>
      <c r="F19" s="29">
        <f>HLOOKUP($F$14,$M$1:$R$23,6)</f>
        <v>7.55</v>
      </c>
      <c r="J19" s="13" t="s">
        <v>102</v>
      </c>
      <c r="K19" s="32">
        <f t="shared" si="0"/>
        <v>19</v>
      </c>
      <c r="L19" s="43" t="s">
        <v>104</v>
      </c>
      <c r="M19" s="31" t="str">
        <f t="shared" ref="M19:R19" si="1">VLOOKUP(M18,$K$27:$L$32,2)</f>
        <v>2, 5, 10, 25, 50, and 100</v>
      </c>
      <c r="N19" s="31" t="str">
        <f t="shared" si="1"/>
        <v>10, 25, 50, and 100</v>
      </c>
      <c r="O19" s="31" t="str">
        <f t="shared" si="1"/>
        <v>2, 5, 10, 25, 50, and 100</v>
      </c>
      <c r="P19" s="31" t="str">
        <f t="shared" si="1"/>
        <v>2, 5, 10, 25, 50, and 100</v>
      </c>
      <c r="Q19" s="31" t="str">
        <f t="shared" si="1"/>
        <v>25, 50, and 100</v>
      </c>
      <c r="R19" s="31" t="str">
        <f t="shared" si="1"/>
        <v>25, 50, and 100</v>
      </c>
    </row>
    <row r="20" spans="4:18" x14ac:dyDescent="0.3">
      <c r="D20" s="19" t="s">
        <v>76</v>
      </c>
      <c r="F20" s="29">
        <f>HLOOKUP($F$14,$M$1:$R$23,7)</f>
        <v>8.6999999999999993</v>
      </c>
      <c r="J20" s="13" t="s">
        <v>122</v>
      </c>
      <c r="K20" s="32">
        <f t="shared" si="0"/>
        <v>20</v>
      </c>
      <c r="L20" s="43" t="s">
        <v>95</v>
      </c>
      <c r="M20" s="31" t="s">
        <v>32</v>
      </c>
      <c r="N20" s="31" t="s">
        <v>41</v>
      </c>
      <c r="O20" s="31" t="s">
        <v>32</v>
      </c>
      <c r="P20" s="31" t="s">
        <v>41</v>
      </c>
      <c r="Q20" s="31" t="s">
        <v>41</v>
      </c>
      <c r="R20" s="31" t="s">
        <v>41</v>
      </c>
    </row>
    <row r="21" spans="4:18" x14ac:dyDescent="0.3">
      <c r="D21" s="19" t="s">
        <v>8</v>
      </c>
      <c r="F21" s="29">
        <f>HLOOKUP($F$14,$M$1:$R$23,8)</f>
        <v>9.93</v>
      </c>
      <c r="J21" s="13" t="str">
        <f>"Slope of the bottom of the detention pond  &lt; "&amp;F38&amp;".00%"</f>
        <v>Slope of the bottom of the detention pond  &lt; 2.00%</v>
      </c>
      <c r="K21" s="32">
        <f t="shared" si="0"/>
        <v>21</v>
      </c>
      <c r="L21" s="43" t="s">
        <v>96</v>
      </c>
      <c r="M21" s="31">
        <v>2</v>
      </c>
      <c r="N21" s="31">
        <v>2</v>
      </c>
      <c r="O21" s="31">
        <v>2</v>
      </c>
      <c r="P21" s="31">
        <v>2</v>
      </c>
      <c r="Q21" s="31">
        <v>25</v>
      </c>
      <c r="R21" s="31">
        <v>25</v>
      </c>
    </row>
    <row r="22" spans="4:18" x14ac:dyDescent="0.3">
      <c r="D22" s="19" t="s">
        <v>54</v>
      </c>
      <c r="F22" s="29" t="str">
        <f>HLOOKUP($F$14,$M$1:$R$23,9)</f>
        <v>1 July 2018</v>
      </c>
      <c r="K22" s="32">
        <f t="shared" si="0"/>
        <v>22</v>
      </c>
      <c r="L22" s="43" t="s">
        <v>105</v>
      </c>
      <c r="M22" s="31" t="str">
        <f t="shared" ref="M22:R22" si="2">VLOOKUP(M21,$K$27:$L$32,2)</f>
        <v>2, 5, 10, 25, 50, and 100</v>
      </c>
      <c r="N22" s="31" t="str">
        <f t="shared" si="2"/>
        <v>2, 5, 10, 25, 50, and 100</v>
      </c>
      <c r="O22" s="31" t="str">
        <f t="shared" si="2"/>
        <v>2, 5, 10, 25, 50, and 100</v>
      </c>
      <c r="P22" s="31" t="str">
        <f t="shared" si="2"/>
        <v>2, 5, 10, 25, 50, and 100</v>
      </c>
      <c r="Q22" s="31" t="str">
        <f t="shared" si="2"/>
        <v>25, 50, and 100</v>
      </c>
      <c r="R22" s="31" t="str">
        <f t="shared" si="2"/>
        <v>25, 50, and 100</v>
      </c>
    </row>
    <row r="23" spans="4:18" x14ac:dyDescent="0.3">
      <c r="D23" s="19" t="s">
        <v>55</v>
      </c>
      <c r="F23" s="41" t="str">
        <f>HLOOKUP($F$14,$M$1:$R$23,10)</f>
        <v>City</v>
      </c>
      <c r="K23" s="32">
        <f t="shared" si="0"/>
        <v>23</v>
      </c>
      <c r="L23" s="43" t="s">
        <v>103</v>
      </c>
      <c r="M23" s="31" t="s">
        <v>170</v>
      </c>
      <c r="N23" s="31" t="s">
        <v>169</v>
      </c>
      <c r="O23" s="31" t="s">
        <v>169</v>
      </c>
      <c r="P23" s="31" t="s">
        <v>169</v>
      </c>
      <c r="Q23" s="31" t="s">
        <v>171</v>
      </c>
      <c r="R23" s="31" t="s">
        <v>169</v>
      </c>
    </row>
    <row r="24" spans="4:18" x14ac:dyDescent="0.3">
      <c r="D24" s="19" t="s">
        <v>56</v>
      </c>
      <c r="F24" s="41" t="str">
        <f>HLOOKUP($F$14,$M$1:$R$23,11)</f>
        <v xml:space="preserve"> O&amp;M Agreement</v>
      </c>
      <c r="I24" s="45"/>
      <c r="K24" s="32">
        <v>24</v>
      </c>
      <c r="L24" s="43" t="s">
        <v>143</v>
      </c>
      <c r="M24" s="31">
        <v>1</v>
      </c>
      <c r="N24" s="31">
        <v>2</v>
      </c>
      <c r="O24" s="31">
        <v>2</v>
      </c>
      <c r="P24" s="31">
        <v>2</v>
      </c>
      <c r="Q24" s="31">
        <v>2</v>
      </c>
      <c r="R24" s="31">
        <v>2</v>
      </c>
    </row>
    <row r="25" spans="4:18" x14ac:dyDescent="0.3">
      <c r="D25" s="19" t="s">
        <v>65</v>
      </c>
      <c r="F25" s="31">
        <f>HLOOKUP($F$14,$M$1:$R$23,12)</f>
        <v>0</v>
      </c>
      <c r="I25" s="45"/>
      <c r="K25" s="13">
        <v>25</v>
      </c>
      <c r="L25" s="43" t="s">
        <v>144</v>
      </c>
      <c r="M25" s="31" t="s">
        <v>123</v>
      </c>
      <c r="N25" s="31" t="s">
        <v>145</v>
      </c>
      <c r="O25" s="31" t="s">
        <v>146</v>
      </c>
      <c r="P25" s="31" t="s">
        <v>147</v>
      </c>
      <c r="Q25" s="31" t="s">
        <v>148</v>
      </c>
      <c r="R25" s="31" t="s">
        <v>149</v>
      </c>
    </row>
    <row r="26" spans="4:18" x14ac:dyDescent="0.3">
      <c r="D26" s="19" t="s">
        <v>66</v>
      </c>
      <c r="F26" s="31">
        <f>HLOOKUP($F$14,$M$1:$R$23,13)</f>
        <v>6</v>
      </c>
      <c r="I26" s="45"/>
      <c r="K26" s="33" t="s">
        <v>110</v>
      </c>
      <c r="L26" s="33" t="s">
        <v>111</v>
      </c>
      <c r="M26" s="33"/>
    </row>
    <row r="27" spans="4:18" x14ac:dyDescent="0.3">
      <c r="D27" s="19" t="s">
        <v>71</v>
      </c>
      <c r="F27" s="38" t="str">
        <f>HLOOKUP($F$14,$M$1:$R$23,14)</f>
        <v>1 September</v>
      </c>
      <c r="I27" s="45"/>
      <c r="K27" s="13">
        <v>2</v>
      </c>
      <c r="L27" s="19" t="s">
        <v>79</v>
      </c>
      <c r="M27" s="19"/>
    </row>
    <row r="28" spans="4:18" x14ac:dyDescent="0.3">
      <c r="D28" s="19" t="s">
        <v>77</v>
      </c>
      <c r="E28" s="42">
        <f>HLOOKUP($F$14,$M$1:$R$23,16)</f>
        <v>6</v>
      </c>
      <c r="F28" s="38" t="str">
        <f>HLOOKUP($F$14,$M$1:$R$23,15)</f>
        <v>2, 5, 10, 25, 50, and 100</v>
      </c>
      <c r="I28" s="45"/>
      <c r="K28" s="13">
        <v>5</v>
      </c>
      <c r="L28" s="19" t="s">
        <v>106</v>
      </c>
      <c r="M28" s="19"/>
    </row>
    <row r="29" spans="4:18" x14ac:dyDescent="0.3">
      <c r="D29" s="19" t="s">
        <v>89</v>
      </c>
      <c r="E29" s="42"/>
      <c r="F29" s="38" t="str">
        <f>HLOOKUP($F$14,$M$1:$R$23,17)</f>
        <v>No</v>
      </c>
      <c r="I29" s="45"/>
      <c r="K29" s="13">
        <v>10</v>
      </c>
      <c r="L29" s="19" t="s">
        <v>107</v>
      </c>
      <c r="M29" s="19"/>
    </row>
    <row r="30" spans="4:18" x14ac:dyDescent="0.3">
      <c r="D30" s="19" t="s">
        <v>94</v>
      </c>
      <c r="E30" s="42"/>
      <c r="F30" s="42">
        <f>HLOOKUP($F$14,$M$1:$R$23,18)</f>
        <v>25</v>
      </c>
      <c r="I30" s="45"/>
      <c r="K30" s="13">
        <v>25</v>
      </c>
      <c r="L30" s="19" t="s">
        <v>108</v>
      </c>
      <c r="M30" s="19"/>
    </row>
    <row r="31" spans="4:18" x14ac:dyDescent="0.3">
      <c r="D31" s="19" t="s">
        <v>104</v>
      </c>
      <c r="E31" s="42"/>
      <c r="F31" s="42" t="str">
        <f>HLOOKUP($F$14,$M$1:$R$23,19)</f>
        <v>25, 50, and 100</v>
      </c>
      <c r="I31" s="45"/>
      <c r="K31" s="13">
        <v>50</v>
      </c>
      <c r="L31" s="19" t="s">
        <v>109</v>
      </c>
      <c r="M31" s="19"/>
    </row>
    <row r="32" spans="4:18" x14ac:dyDescent="0.3">
      <c r="D32" s="19" t="s">
        <v>95</v>
      </c>
      <c r="E32" s="42"/>
      <c r="F32" s="38" t="str">
        <f>HLOOKUP($F$14,$M$1:$R$23,20)</f>
        <v>Yes</v>
      </c>
      <c r="I32" s="45"/>
      <c r="K32" s="13">
        <v>100</v>
      </c>
      <c r="L32" s="19">
        <v>100</v>
      </c>
      <c r="M32" s="19"/>
    </row>
    <row r="33" spans="4:13" x14ac:dyDescent="0.3">
      <c r="D33" s="19" t="s">
        <v>96</v>
      </c>
      <c r="E33" s="42"/>
      <c r="F33" s="42">
        <f>HLOOKUP($F$14,$M$1:$R$23,21)</f>
        <v>25</v>
      </c>
    </row>
    <row r="34" spans="4:13" x14ac:dyDescent="0.3">
      <c r="D34" s="19" t="s">
        <v>105</v>
      </c>
      <c r="E34" s="42"/>
      <c r="F34" s="42" t="str">
        <f>HLOOKUP($F$14,$M$1:$R$23,22)</f>
        <v>25, 50, and 100</v>
      </c>
      <c r="L34" s="33" t="s">
        <v>114</v>
      </c>
      <c r="M34" s="33"/>
    </row>
    <row r="35" spans="4:13" x14ac:dyDescent="0.3">
      <c r="D35" s="19" t="s">
        <v>112</v>
      </c>
      <c r="E35" s="42"/>
      <c r="F35" s="42">
        <f>MIN(F30,F33)</f>
        <v>25</v>
      </c>
      <c r="L35" s="31" t="s">
        <v>41</v>
      </c>
      <c r="M35" s="31"/>
    </row>
    <row r="36" spans="4:13" x14ac:dyDescent="0.3">
      <c r="D36" s="19" t="s">
        <v>113</v>
      </c>
      <c r="E36" s="42"/>
      <c r="F36" s="31" t="str">
        <f>VLOOKUP(F35,$K$27:$L$32,2)</f>
        <v>25, 50, and 100</v>
      </c>
      <c r="L36" s="31" t="s">
        <v>32</v>
      </c>
      <c r="M36" s="31"/>
    </row>
    <row r="37" spans="4:13" x14ac:dyDescent="0.3">
      <c r="D37" s="19" t="s">
        <v>103</v>
      </c>
      <c r="E37" s="42"/>
      <c r="F37" s="42" t="str">
        <f>HLOOKUP($F$14,$M$1:$R$23,23)</f>
        <v>a Release Agreement</v>
      </c>
    </row>
    <row r="38" spans="4:13" x14ac:dyDescent="0.3">
      <c r="D38" s="19" t="s">
        <v>143</v>
      </c>
      <c r="E38" s="42"/>
      <c r="F38" s="67">
        <f>HLOOKUP($F$14,$M$1:$R$24,24)</f>
        <v>2</v>
      </c>
    </row>
    <row r="39" spans="4:13" x14ac:dyDescent="0.3">
      <c r="D39" s="19" t="s">
        <v>144</v>
      </c>
      <c r="F39" s="42" t="str">
        <f>HLOOKUP($F$14,$M$1:$R$25,25)</f>
        <v>the City of Prattville</v>
      </c>
      <c r="H39" s="32" t="s">
        <v>58</v>
      </c>
    </row>
    <row r="40" spans="4:13" ht="64.95" customHeight="1" x14ac:dyDescent="0.3">
      <c r="E40" s="44" t="s">
        <v>123</v>
      </c>
    </row>
    <row r="41" spans="4:13" ht="64.95" customHeight="1" x14ac:dyDescent="0.3">
      <c r="E41" s="19" t="s">
        <v>35</v>
      </c>
    </row>
    <row r="42" spans="4:13" ht="64.95" customHeight="1" x14ac:dyDescent="0.3">
      <c r="E42" s="19" t="s">
        <v>46</v>
      </c>
    </row>
    <row r="43" spans="4:13" ht="64.95" customHeight="1" x14ac:dyDescent="0.3">
      <c r="E43" s="19" t="s">
        <v>37</v>
      </c>
    </row>
    <row r="44" spans="4:13" ht="64.95" customHeight="1" x14ac:dyDescent="0.3">
      <c r="E44" s="19" t="s">
        <v>34</v>
      </c>
    </row>
    <row r="45" spans="4:13" ht="64.95" customHeight="1" x14ac:dyDescent="0.3">
      <c r="E45" s="19" t="s">
        <v>36</v>
      </c>
    </row>
  </sheetData>
  <sortState xmlns:xlrd2="http://schemas.microsoft.com/office/spreadsheetml/2017/richdata2" ref="D19:F24">
    <sortCondition ref="E19:E24"/>
  </sortState>
  <mergeCells count="1">
    <mergeCell ref="A1:B1"/>
  </mergeCells>
  <dataValidations count="3">
    <dataValidation type="list" allowBlank="1" showInputMessage="1" showErrorMessage="1" sqref="F14" xr:uid="{EBBE6338-4834-4C9B-9848-CE10F23E26FB}">
      <formula1>$M$1:$R$1</formula1>
    </dataValidation>
    <dataValidation type="list" allowBlank="1" showInputMessage="1" showErrorMessage="1" sqref="M18:R18 M21:R21" xr:uid="{D6B58A4C-7C48-4FE3-8A25-E00DA256AA5E}">
      <formula1>$K$27:$K$32</formula1>
    </dataValidation>
    <dataValidation type="list" allowBlank="1" showInputMessage="1" showErrorMessage="1" sqref="M17:R17 M20:R20" xr:uid="{28435609-2046-43BD-A9F3-08D43EFBFA74}">
      <formula1>$L$35:$L$36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tableParts count="8"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90F5-78AD-482F-B053-1304FA695CE7}">
  <sheetPr codeName="Sheet1">
    <tabColor theme="2" tint="-0.499984740745262"/>
    <pageSetUpPr fitToPage="1"/>
  </sheetPr>
  <dimension ref="A1:Z55"/>
  <sheetViews>
    <sheetView showGridLines="0" showRowColHeaders="0" tabSelected="1" zoomScale="130" zoomScaleNormal="130" workbookViewId="0">
      <pane ySplit="3" topLeftCell="A11" activePane="bottomLeft" state="frozen"/>
      <selection pane="bottomLeft" activeCell="F2" sqref="F2"/>
    </sheetView>
  </sheetViews>
  <sheetFormatPr defaultColWidth="8.88671875" defaultRowHeight="19.95" customHeight="1" x14ac:dyDescent="0.3"/>
  <cols>
    <col min="1" max="1" width="8.88671875" style="49" hidden="1" customWidth="1"/>
    <col min="2" max="2" width="2.77734375" style="22" customWidth="1"/>
    <col min="3" max="3" width="5.77734375" style="21" customWidth="1"/>
    <col min="4" max="4" width="24.77734375" style="22" customWidth="1"/>
    <col min="5" max="5" width="4.77734375" style="22" customWidth="1"/>
    <col min="6" max="6" width="20.5546875" style="22" customWidth="1"/>
    <col min="7" max="11" width="8.88671875" style="22" customWidth="1"/>
    <col min="12" max="13" width="10.77734375" style="22" customWidth="1"/>
    <col min="14" max="18" width="8.88671875" style="22" customWidth="1"/>
    <col min="19" max="19" width="8.88671875" customWidth="1"/>
    <col min="20" max="26" width="8.88671875" style="22" customWidth="1"/>
    <col min="27" max="16384" width="8.88671875" style="22"/>
  </cols>
  <sheetData>
    <row r="1" spans="1:20" ht="19.95" customHeight="1" x14ac:dyDescent="0.3">
      <c r="C1" s="23" t="s">
        <v>172</v>
      </c>
      <c r="N1" s="48" t="s">
        <v>124</v>
      </c>
      <c r="O1" s="89">
        <f>Tables!F13</f>
        <v>46082</v>
      </c>
      <c r="P1" s="89"/>
      <c r="Q1" s="89"/>
      <c r="R1" s="89"/>
      <c r="S1" s="89"/>
    </row>
    <row r="2" spans="1:20" ht="19.95" customHeight="1" x14ac:dyDescent="0.3">
      <c r="A2" s="50">
        <f>IF(OR(F2="I ACCEPT",F2="I DO NOT ACCEPT"),1,2)</f>
        <v>2</v>
      </c>
      <c r="E2" s="48" t="s">
        <v>126</v>
      </c>
      <c r="F2" s="62" t="s">
        <v>130</v>
      </c>
      <c r="N2" s="48" t="s">
        <v>140</v>
      </c>
      <c r="O2" s="89">
        <f>Tables!B6</f>
        <v>46447</v>
      </c>
      <c r="P2" s="89"/>
      <c r="Q2" s="89"/>
      <c r="R2" s="89"/>
      <c r="S2" s="89"/>
    </row>
    <row r="3" spans="1:20" ht="19.95" customHeight="1" x14ac:dyDescent="0.3">
      <c r="A3" s="50">
        <f ca="1">IF(F3="Workbook is Locked and Unavailable",2,1)</f>
        <v>2</v>
      </c>
      <c r="E3" s="48" t="s">
        <v>132</v>
      </c>
      <c r="F3" s="88" t="str">
        <f ca="1">IF(Tables!$B$8,"Workbook is Active","Workbook is Locked and Unavailable")</f>
        <v>Workbook is Locked and Unavailable</v>
      </c>
      <c r="G3" s="88"/>
      <c r="H3" s="88"/>
    </row>
    <row r="4" spans="1:20" ht="19.95" hidden="1" customHeight="1" x14ac:dyDescent="0.3">
      <c r="B4" s="49"/>
      <c r="C4" s="51"/>
      <c r="D4" s="49"/>
      <c r="E4" s="66" t="s">
        <v>131</v>
      </c>
      <c r="F4" s="65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6" spans="1:20" ht="19.95" customHeight="1" x14ac:dyDescent="0.3">
      <c r="D6" s="63"/>
      <c r="E6" s="63" t="s">
        <v>125</v>
      </c>
      <c r="F6" s="22" t="s">
        <v>195</v>
      </c>
    </row>
    <row r="7" spans="1:20" ht="19.95" customHeight="1" x14ac:dyDescent="0.3">
      <c r="D7" s="63"/>
      <c r="E7" s="64"/>
      <c r="F7" s="22" t="str">
        <f>"By clicking I ACCEPT, you represent that you are (a) preparing a post-construction submittal for "&amp;Tables!$F$39&amp;" and/or"</f>
        <v>By clicking I ACCEPT, you represent that you are (a) preparing a post-construction submittal for the City of Prattville and/or</v>
      </c>
    </row>
    <row r="8" spans="1:20" ht="19.95" customHeight="1" x14ac:dyDescent="0.3">
      <c r="D8" s="63"/>
      <c r="E8" s="64"/>
      <c r="F8" s="22" t="s">
        <v>174</v>
      </c>
    </row>
    <row r="9" spans="1:20" ht="19.95" customHeight="1" x14ac:dyDescent="0.3">
      <c r="D9" s="63"/>
      <c r="E9" s="64"/>
      <c r="F9" s="22" t="s">
        <v>173</v>
      </c>
    </row>
    <row r="10" spans="1:20" ht="19.95" customHeight="1" x14ac:dyDescent="0.3">
      <c r="D10" s="63"/>
      <c r="E10" s="64"/>
    </row>
    <row r="11" spans="1:20" ht="19.95" customHeight="1" x14ac:dyDescent="0.3">
      <c r="D11" s="63">
        <v>1</v>
      </c>
      <c r="E11" s="9" t="s">
        <v>175</v>
      </c>
    </row>
    <row r="12" spans="1:20" ht="19.95" customHeight="1" x14ac:dyDescent="0.3">
      <c r="D12" s="63"/>
      <c r="E12" s="64"/>
      <c r="F12" s="22" t="s">
        <v>150</v>
      </c>
    </row>
    <row r="13" spans="1:20" ht="19.95" customHeight="1" x14ac:dyDescent="0.3">
      <c r="D13" s="63"/>
      <c r="E13" s="64"/>
      <c r="F13" s="22" t="str">
        <f>"and submit post-construction application materials to "&amp;Tables!$F$39&amp;" and for the User's internal recordkeeping for those"</f>
        <v>and submit post-construction application materials to the City of Prattville and for the User's internal recordkeeping for those</v>
      </c>
    </row>
    <row r="14" spans="1:20" ht="19.95" customHeight="1" x14ac:dyDescent="0.3">
      <c r="D14" s="63"/>
      <c r="E14" s="64"/>
      <c r="F14" s="22" t="s">
        <v>151</v>
      </c>
    </row>
    <row r="15" spans="1:20" ht="19.95" customHeight="1" x14ac:dyDescent="0.3">
      <c r="D15" s="63"/>
      <c r="E15" s="64"/>
      <c r="F15" s="22" t="s">
        <v>176</v>
      </c>
    </row>
    <row r="16" spans="1:20" ht="19.95" customHeight="1" x14ac:dyDescent="0.3">
      <c r="D16" s="63">
        <v>2</v>
      </c>
      <c r="E16" s="9" t="s">
        <v>152</v>
      </c>
    </row>
    <row r="17" spans="4:6" ht="19.95" customHeight="1" x14ac:dyDescent="0.3">
      <c r="D17" s="63"/>
      <c r="E17" s="64"/>
      <c r="F17" s="22" t="s">
        <v>153</v>
      </c>
    </row>
    <row r="18" spans="4:6" ht="19.95" customHeight="1" x14ac:dyDescent="0.3">
      <c r="D18" s="63"/>
      <c r="E18" s="64"/>
      <c r="F18" s="22" t="s">
        <v>154</v>
      </c>
    </row>
    <row r="19" spans="4:6" ht="19.95" customHeight="1" x14ac:dyDescent="0.3">
      <c r="D19" s="63">
        <v>3</v>
      </c>
      <c r="E19" s="64" t="s">
        <v>155</v>
      </c>
    </row>
    <row r="20" spans="4:6" ht="19.95" customHeight="1" x14ac:dyDescent="0.3">
      <c r="D20" s="63"/>
      <c r="E20" s="64"/>
      <c r="F20" s="22" t="s">
        <v>164</v>
      </c>
    </row>
    <row r="21" spans="4:6" ht="19.95" customHeight="1" x14ac:dyDescent="0.3">
      <c r="D21" s="63"/>
      <c r="E21" s="64"/>
      <c r="F21" s="22" t="s">
        <v>177</v>
      </c>
    </row>
    <row r="22" spans="4:6" ht="19.95" customHeight="1" x14ac:dyDescent="0.3">
      <c r="D22" s="63"/>
      <c r="E22" s="64"/>
      <c r="F22" s="22" t="str">
        <f>"forms to the "&amp;Tables!$F$23&amp;" as intended.  The "&amp;Tables!$F$23&amp;" may host and distribute the unmodified Tool to prospective submitters for"</f>
        <v>forms to the City as intended.  The City may host and distribute the unmodified Tool to prospective submitters for</v>
      </c>
    </row>
    <row r="23" spans="4:6" ht="19.95" customHeight="1" x14ac:dyDescent="0.3">
      <c r="D23" s="63"/>
      <c r="E23" s="64"/>
      <c r="F23" s="22" t="s">
        <v>196</v>
      </c>
    </row>
    <row r="24" spans="4:6" ht="19.95" customHeight="1" x14ac:dyDescent="0.3">
      <c r="D24" s="63">
        <v>4</v>
      </c>
      <c r="E24" s="64" t="s">
        <v>156</v>
      </c>
    </row>
    <row r="25" spans="4:6" ht="19.95" customHeight="1" x14ac:dyDescent="0.3">
      <c r="D25" s="63"/>
      <c r="E25" s="64"/>
      <c r="F25" s="22" t="s">
        <v>165</v>
      </c>
    </row>
    <row r="26" spans="4:6" ht="19.95" customHeight="1" x14ac:dyDescent="0.3">
      <c r="D26" s="63"/>
      <c r="E26" s="64"/>
      <c r="F26" s="22" t="s">
        <v>178</v>
      </c>
    </row>
    <row r="27" spans="4:6" ht="19.95" customHeight="1" x14ac:dyDescent="0.3">
      <c r="D27" s="63"/>
      <c r="E27" s="64"/>
      <c r="F27" s="22" t="s">
        <v>179</v>
      </c>
    </row>
    <row r="28" spans="4:6" ht="19.95" customHeight="1" x14ac:dyDescent="0.3">
      <c r="D28" s="63">
        <v>5</v>
      </c>
      <c r="E28" s="64" t="s">
        <v>157</v>
      </c>
    </row>
    <row r="29" spans="4:6" ht="19.95" customHeight="1" x14ac:dyDescent="0.3">
      <c r="D29" s="63"/>
      <c r="E29" s="64"/>
      <c r="F29" s="22" t="str">
        <f>"Outputs and application materials generated with the Tool may be public records of "&amp;Tables!$F$39&amp;"; the Tool itself"</f>
        <v>Outputs and application materials generated with the Tool may be public records of the City of Prattville; the Tool itself</v>
      </c>
    </row>
    <row r="30" spans="4:6" ht="19.95" customHeight="1" x14ac:dyDescent="0.3">
      <c r="D30" s="63"/>
      <c r="E30" s="64"/>
      <c r="F30" s="22" t="s">
        <v>180</v>
      </c>
    </row>
    <row r="31" spans="4:6" ht="19.95" customHeight="1" x14ac:dyDescent="0.3">
      <c r="D31" s="63">
        <v>6</v>
      </c>
      <c r="E31" s="64" t="s">
        <v>181</v>
      </c>
    </row>
    <row r="32" spans="4:6" ht="19.95" customHeight="1" x14ac:dyDescent="0.3">
      <c r="D32" s="63"/>
      <c r="E32" s="64"/>
      <c r="F32" s="22" t="str">
        <f>"The Tool is a convenience aid and does not constitute engineering, legal or compliance advice. The "&amp;Tables!$F$39&amp;"'s standards and"</f>
        <v>The Tool is a convenience aid and does not constitute engineering, legal or compliance advice. The the City of Prattville's standards and</v>
      </c>
    </row>
    <row r="33" spans="4:6" ht="19.95" customHeight="1" x14ac:dyDescent="0.3">
      <c r="D33" s="63"/>
      <c r="E33" s="64"/>
      <c r="F33" s="22" t="s">
        <v>182</v>
      </c>
    </row>
    <row r="34" spans="4:6" ht="19.95" customHeight="1" x14ac:dyDescent="0.3">
      <c r="D34" s="63">
        <v>7</v>
      </c>
      <c r="E34" s="64" t="s">
        <v>158</v>
      </c>
    </row>
    <row r="35" spans="4:6" ht="19.95" customHeight="1" x14ac:dyDescent="0.3">
      <c r="D35" s="63"/>
      <c r="E35" s="64"/>
      <c r="F35" s="22" t="s">
        <v>183</v>
      </c>
    </row>
    <row r="36" spans="4:6" ht="19.95" customHeight="1" x14ac:dyDescent="0.3">
      <c r="D36" s="63"/>
      <c r="E36" s="64"/>
      <c r="F36" s="22" t="s">
        <v>197</v>
      </c>
    </row>
    <row r="37" spans="4:6" ht="19.95" customHeight="1" x14ac:dyDescent="0.3">
      <c r="D37" s="63"/>
      <c r="E37" s="64"/>
      <c r="F37" s="22" t="s">
        <v>166</v>
      </c>
    </row>
    <row r="38" spans="4:6" ht="19.95" customHeight="1" x14ac:dyDescent="0.3">
      <c r="D38" s="63">
        <v>8</v>
      </c>
      <c r="E38" s="64" t="s">
        <v>159</v>
      </c>
    </row>
    <row r="39" spans="4:6" ht="19.95" customHeight="1" x14ac:dyDescent="0.3">
      <c r="D39" s="63"/>
      <c r="E39" s="64"/>
      <c r="F39" s="22" t="s">
        <v>160</v>
      </c>
    </row>
    <row r="40" spans="4:6" ht="19.95" customHeight="1" x14ac:dyDescent="0.3">
      <c r="D40" s="63"/>
      <c r="E40" s="64"/>
      <c r="F40" s="22" t="s">
        <v>161</v>
      </c>
    </row>
    <row r="41" spans="4:6" ht="19.95" customHeight="1" x14ac:dyDescent="0.3">
      <c r="D41" s="63">
        <v>9</v>
      </c>
      <c r="E41" s="64" t="s">
        <v>184</v>
      </c>
    </row>
    <row r="42" spans="4:6" ht="19.95" customHeight="1" x14ac:dyDescent="0.3">
      <c r="D42" s="63"/>
      <c r="E42" s="64"/>
      <c r="F42" s="22" t="s">
        <v>185</v>
      </c>
    </row>
    <row r="43" spans="4:6" ht="19.95" customHeight="1" x14ac:dyDescent="0.3">
      <c r="D43" s="63">
        <v>10</v>
      </c>
      <c r="E43" s="64" t="s">
        <v>186</v>
      </c>
    </row>
    <row r="44" spans="4:6" ht="19.95" customHeight="1" x14ac:dyDescent="0.3">
      <c r="D44" s="63"/>
      <c r="E44" s="64"/>
      <c r="F44" s="22" t="s">
        <v>187</v>
      </c>
    </row>
    <row r="45" spans="4:6" ht="19.95" customHeight="1" x14ac:dyDescent="0.3">
      <c r="D45" s="63"/>
      <c r="E45" s="64"/>
      <c r="F45" s="22" t="s">
        <v>188</v>
      </c>
    </row>
    <row r="46" spans="4:6" ht="19.95" customHeight="1" x14ac:dyDescent="0.3">
      <c r="D46" s="63">
        <v>11</v>
      </c>
      <c r="E46" s="64" t="s">
        <v>189</v>
      </c>
    </row>
    <row r="47" spans="4:6" ht="19.95" customHeight="1" x14ac:dyDescent="0.3">
      <c r="D47" s="63"/>
      <c r="E47" s="64"/>
      <c r="F47" s="22" t="s">
        <v>190</v>
      </c>
    </row>
    <row r="48" spans="4:6" ht="19.95" customHeight="1" x14ac:dyDescent="0.3">
      <c r="D48" s="63"/>
      <c r="E48" s="64"/>
      <c r="F48" s="22" t="s">
        <v>191</v>
      </c>
    </row>
    <row r="49" spans="4:6" ht="19.95" customHeight="1" x14ac:dyDescent="0.3">
      <c r="D49" s="63"/>
      <c r="E49" s="64"/>
      <c r="F49" s="22" t="s">
        <v>192</v>
      </c>
    </row>
    <row r="50" spans="4:6" ht="19.95" customHeight="1" x14ac:dyDescent="0.3">
      <c r="D50" s="63"/>
      <c r="E50" s="64"/>
      <c r="F50" s="22" t="s">
        <v>193</v>
      </c>
    </row>
    <row r="51" spans="4:6" ht="19.95" customHeight="1" x14ac:dyDescent="0.3">
      <c r="D51" s="63">
        <v>12</v>
      </c>
      <c r="E51" s="64" t="s">
        <v>162</v>
      </c>
    </row>
    <row r="52" spans="4:6" ht="19.95" customHeight="1" x14ac:dyDescent="0.3">
      <c r="D52" s="63"/>
      <c r="E52" s="64"/>
      <c r="F52" s="22" t="s">
        <v>194</v>
      </c>
    </row>
    <row r="53" spans="4:6" ht="19.95" customHeight="1" x14ac:dyDescent="0.3">
      <c r="D53" s="63"/>
      <c r="E53" s="64"/>
    </row>
    <row r="54" spans="4:6" ht="19.95" customHeight="1" x14ac:dyDescent="0.3">
      <c r="D54" s="63"/>
      <c r="E54" s="64"/>
    </row>
    <row r="55" spans="4:6" ht="19.95" customHeight="1" x14ac:dyDescent="0.3">
      <c r="D55" s="63"/>
      <c r="E55" s="64"/>
    </row>
  </sheetData>
  <sheetProtection algorithmName="SHA-512" hashValue="MfIDr+c2W6f0BQPlIw+bHsP+JZs8C4eiGllKfM/xEfnYcIfQvSA5ilPWYRkaH93H7a4lywf05lhVSvwSKQMC4Q==" saltValue="ChRYg7l7Xlks4sxbbI8f/A==" spinCount="100000" sheet="1" objects="1" scenarios="1" selectLockedCells="1"/>
  <mergeCells count="3">
    <mergeCell ref="F3:H3"/>
    <mergeCell ref="O2:S2"/>
    <mergeCell ref="O1:S1"/>
  </mergeCells>
  <conditionalFormatting sqref="F2">
    <cfRule type="expression" dxfId="41" priority="1447">
      <formula>$A$2=2</formula>
    </cfRule>
  </conditionalFormatting>
  <conditionalFormatting sqref="F3:H3">
    <cfRule type="expression" dxfId="40" priority="1">
      <formula>$A$3=2</formula>
    </cfRule>
    <cfRule type="expression" dxfId="39" priority="2">
      <formula>$A$3=2</formula>
    </cfRule>
  </conditionalFormatting>
  <pageMargins left="0.2" right="0.2" top="0.5" bottom="0.25" header="0.3" footer="0.3"/>
  <pageSetup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8D3736-A416-4CBD-8944-80A6382E9205}">
          <x14:formula1>
            <xm:f>Tables!$B$12:$B$14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BCFA-678D-4F47-972D-31E458267710}">
  <sheetPr codeName="Sheet5">
    <tabColor theme="9" tint="0.39997558519241921"/>
  </sheetPr>
  <dimension ref="A1:CF56"/>
  <sheetViews>
    <sheetView showGridLines="0" showRowColHeaders="0" showZeros="0" zoomScale="150" zoomScaleNormal="150" workbookViewId="0">
      <selection activeCell="AC12" sqref="AC12"/>
    </sheetView>
  </sheetViews>
  <sheetFormatPr defaultColWidth="0" defaultRowHeight="0" customHeight="1" zeroHeight="1" x14ac:dyDescent="0.3"/>
  <cols>
    <col min="1" max="1" width="1.77734375" style="4" customWidth="1"/>
    <col min="2" max="37" width="2.77734375" style="4" customWidth="1"/>
    <col min="38" max="38" width="10.33203125" style="17" hidden="1" customWidth="1"/>
    <col min="39" max="40" width="15.77734375" style="17" hidden="1" customWidth="1"/>
    <col min="41" max="41" width="9.21875" style="17" hidden="1" customWidth="1"/>
    <col min="42" max="43" width="5.77734375" style="17" hidden="1" customWidth="1"/>
    <col min="44" max="47" width="2.77734375" style="4" customWidth="1"/>
    <col min="48" max="82" width="0" style="4" hidden="1" customWidth="1"/>
    <col min="83" max="84" width="0" style="4" hidden="1"/>
    <col min="85" max="16384" width="8.88671875" style="4" hidden="1"/>
  </cols>
  <sheetData>
    <row r="1" spans="2:47" ht="15" customHeight="1" x14ac:dyDescent="0.3">
      <c r="P1" s="83" t="str">
        <f>IF(AO7=0,"Select Form Type",IF(AO7=1,"Form 2A.3 - Detention Pond",IF(AO7=2,"Form 2B.3 - Retention Pond",IF(AO7=3,"Form 2C.3 - Underground Detention",IF(AO7=4,"Form 2D.3 - Bioretention Area",IF(AO7=5,"Form 2F.3 - Permeable Pavement","Select Form"))))))&amp;"
Additional Basins Form"</f>
        <v>Select Form Type
Additional Basins Form</v>
      </c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69"/>
      <c r="AS1" s="10"/>
      <c r="AT1" s="10"/>
    </row>
    <row r="2" spans="2:47" ht="15" customHeight="1" x14ac:dyDescent="0.3">
      <c r="K2" s="5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69"/>
      <c r="AM2" s="70" t="s">
        <v>204</v>
      </c>
      <c r="AN2" s="70"/>
      <c r="AO2" s="26">
        <f>IF(ISBLANK(C12),0,1)</f>
        <v>0</v>
      </c>
      <c r="AQ2" s="26">
        <f>LEN(C12)</f>
        <v>0</v>
      </c>
      <c r="AS2" s="10"/>
      <c r="AT2" s="10"/>
    </row>
    <row r="3" spans="2:47" ht="15" customHeight="1" x14ac:dyDescent="0.3">
      <c r="K3" s="5"/>
      <c r="L3" s="5"/>
      <c r="M3" s="5"/>
      <c r="N3" s="5"/>
      <c r="O3" s="5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69"/>
      <c r="AM3" s="70" t="s">
        <v>205</v>
      </c>
      <c r="AN3" s="70"/>
      <c r="AO3" s="26">
        <f>IF(ISBLANK(C14),0,2)</f>
        <v>0</v>
      </c>
      <c r="AQ3" s="26">
        <f>LEN(C14)</f>
        <v>0</v>
      </c>
      <c r="AS3" s="10"/>
      <c r="AT3" s="10"/>
    </row>
    <row r="4" spans="2:47" ht="15" customHeight="1" x14ac:dyDescent="0.3">
      <c r="K4" s="5"/>
      <c r="L4" s="5"/>
      <c r="M4" s="5"/>
      <c r="N4" s="5"/>
      <c r="O4" s="5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69"/>
      <c r="AM4" s="70" t="s">
        <v>206</v>
      </c>
      <c r="AN4" s="70"/>
      <c r="AO4" s="26">
        <f>IF(ISBLANK(C16),0,3)</f>
        <v>0</v>
      </c>
      <c r="AQ4" s="26">
        <f>LEN(C16)</f>
        <v>0</v>
      </c>
      <c r="AS4" s="10"/>
      <c r="AT4" s="10"/>
    </row>
    <row r="5" spans="2:47" ht="15" customHeight="1" x14ac:dyDescent="0.3">
      <c r="K5" s="5"/>
      <c r="L5" s="5"/>
      <c r="M5" s="5"/>
      <c r="N5" s="5"/>
      <c r="O5" s="5"/>
      <c r="P5" s="5"/>
      <c r="Q5" s="5"/>
      <c r="R5" s="5"/>
      <c r="S5" s="5"/>
      <c r="T5" s="5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M5" s="70" t="s">
        <v>207</v>
      </c>
      <c r="AN5" s="70"/>
      <c r="AO5" s="26">
        <f>IF(ISBLANK(L12),0,4)</f>
        <v>0</v>
      </c>
      <c r="AQ5" s="26">
        <f>LEN(L12)</f>
        <v>0</v>
      </c>
      <c r="AS5" s="10"/>
      <c r="AT5" s="10"/>
    </row>
    <row r="6" spans="2:47" ht="15" customHeight="1" x14ac:dyDescent="0.3">
      <c r="B6" s="1" t="s">
        <v>0</v>
      </c>
      <c r="C6" s="1"/>
      <c r="D6" s="1"/>
      <c r="E6" s="1"/>
      <c r="F6" s="1"/>
      <c r="G6" s="1"/>
      <c r="H6" s="1"/>
      <c r="I6" s="1"/>
      <c r="J6" s="1"/>
      <c r="AC6" s="2" t="s">
        <v>101</v>
      </c>
      <c r="AD6" s="84"/>
      <c r="AE6" s="84"/>
      <c r="AF6" s="84"/>
      <c r="AG6" s="84"/>
      <c r="AH6" s="84"/>
      <c r="AI6" s="84"/>
      <c r="AJ6" s="84"/>
      <c r="AM6" s="70" t="s">
        <v>208</v>
      </c>
      <c r="AN6" s="70"/>
      <c r="AO6" s="26">
        <f>IF(ISBLANK(L14),0,5)</f>
        <v>0</v>
      </c>
      <c r="AQ6" s="26">
        <f>LEN(L14)</f>
        <v>0</v>
      </c>
      <c r="AS6"/>
      <c r="AT6"/>
      <c r="AU6"/>
    </row>
    <row r="7" spans="2:47" ht="15" customHeight="1" x14ac:dyDescent="0.3">
      <c r="C7" s="2"/>
      <c r="D7" s="2" t="s">
        <v>30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AD7" s="2" t="s">
        <v>39</v>
      </c>
      <c r="AE7" s="71"/>
      <c r="AF7" s="71"/>
      <c r="AG7" s="71"/>
      <c r="AH7" s="71"/>
      <c r="AI7" s="71"/>
      <c r="AJ7" s="71"/>
      <c r="AO7" s="26">
        <f>MAX(AO2:AO6)</f>
        <v>0</v>
      </c>
      <c r="AQ7" s="26">
        <f>SUM(AQ2:AQ6)</f>
        <v>0</v>
      </c>
      <c r="AS7" s="15"/>
      <c r="AT7" s="15"/>
      <c r="AU7" s="15"/>
    </row>
    <row r="8" spans="2:47" ht="15" customHeight="1" x14ac:dyDescent="0.3">
      <c r="C8" s="2"/>
      <c r="D8" s="2" t="s">
        <v>31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AD8" s="2" t="s">
        <v>40</v>
      </c>
      <c r="AE8" s="72"/>
      <c r="AF8" s="72"/>
      <c r="AG8" s="72"/>
      <c r="AH8" s="72"/>
      <c r="AI8" s="72"/>
      <c r="AJ8" s="72"/>
      <c r="AS8" s="13"/>
      <c r="AT8" s="13"/>
      <c r="AU8" s="13"/>
    </row>
    <row r="9" spans="2:47" ht="15" customHeigh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8"/>
      <c r="AM9" s="18"/>
      <c r="AN9" s="18"/>
      <c r="AO9" s="18"/>
      <c r="AP9" s="18"/>
      <c r="AQ9" s="18"/>
      <c r="AS9" s="13"/>
      <c r="AT9" s="13"/>
      <c r="AU9" s="13"/>
    </row>
    <row r="10" spans="2:47" ht="15" customHeight="1" x14ac:dyDescent="0.3">
      <c r="B10" s="16" t="s">
        <v>203</v>
      </c>
      <c r="C10" s="16"/>
      <c r="D10" s="16"/>
      <c r="E10" s="16"/>
      <c r="Y10" s="4" t="s">
        <v>97</v>
      </c>
      <c r="AL10" s="26">
        <f>IF(AND(ISBLANK(C12),ISBLANK(C14),ISBLANK(C16),ISBLANK(L12),ISBLANK(L14)),1,2)</f>
        <v>1</v>
      </c>
      <c r="AS10" s="13"/>
      <c r="AT10" s="13"/>
      <c r="AU10" s="13"/>
    </row>
    <row r="11" spans="2:47" ht="4.95" customHeight="1" x14ac:dyDescent="0.3">
      <c r="F11" s="2"/>
    </row>
    <row r="12" spans="2:47" ht="15" customHeight="1" x14ac:dyDescent="0.3">
      <c r="C12" s="68"/>
      <c r="D12" s="4" t="s">
        <v>198</v>
      </c>
      <c r="F12" s="2"/>
      <c r="L12" s="68"/>
      <c r="M12" s="4" t="s">
        <v>201</v>
      </c>
      <c r="Z12" s="68"/>
      <c r="AA12" s="16" t="s">
        <v>81</v>
      </c>
      <c r="AC12" s="68"/>
      <c r="AD12" s="16" t="s">
        <v>82</v>
      </c>
      <c r="AL12" s="26">
        <f>IF(AND(ISBLANK(Z12),ISBLANK(AC12)),1,2)</f>
        <v>1</v>
      </c>
      <c r="AM12" s="26">
        <f>IF(ISBLANK(Z12),0,1)</f>
        <v>0</v>
      </c>
      <c r="AN12" s="26">
        <f>IF(ISBLANK(AC12),0,2)</f>
        <v>0</v>
      </c>
      <c r="AO12" s="26">
        <f>SUM(AM12:AN12)</f>
        <v>0</v>
      </c>
      <c r="AP12" s="17" t="s">
        <v>98</v>
      </c>
    </row>
    <row r="13" spans="2:47" ht="4.95" customHeight="1" x14ac:dyDescent="0.3">
      <c r="C13" s="2"/>
      <c r="D13" s="2"/>
      <c r="F13" s="2"/>
    </row>
    <row r="14" spans="2:47" ht="14.55" customHeight="1" x14ac:dyDescent="0.3">
      <c r="C14" s="68"/>
      <c r="D14" s="4" t="s">
        <v>199</v>
      </c>
      <c r="L14" s="68"/>
      <c r="M14" s="4" t="s">
        <v>202</v>
      </c>
      <c r="Y14" s="4" t="s">
        <v>84</v>
      </c>
      <c r="AN14" s="18"/>
      <c r="AS14" s="13"/>
      <c r="AT14" s="13"/>
      <c r="AU14" s="13"/>
    </row>
    <row r="15" spans="2:47" ht="4.95" customHeight="1" x14ac:dyDescent="0.3">
      <c r="C15" s="2"/>
      <c r="D15" s="2"/>
      <c r="AN15" s="18"/>
      <c r="AS15" s="13"/>
      <c r="AT15" s="13"/>
      <c r="AU15" s="13"/>
    </row>
    <row r="16" spans="2:47" ht="14.55" customHeight="1" x14ac:dyDescent="0.3">
      <c r="C16" s="68"/>
      <c r="D16" s="4" t="s">
        <v>200</v>
      </c>
      <c r="Z16" s="20"/>
      <c r="AA16" s="4" t="s">
        <v>85</v>
      </c>
      <c r="AC16" s="20"/>
      <c r="AD16" s="4" t="s">
        <v>86</v>
      </c>
      <c r="AF16" s="20"/>
      <c r="AG16" s="4" t="s">
        <v>87</v>
      </c>
      <c r="AI16" s="20"/>
      <c r="AJ16" s="4" t="s">
        <v>88</v>
      </c>
      <c r="AL16" s="26">
        <f>IF(AND(ISBLANK(Z16),ISBLANK(AC16),ISBLANK(AF16),ISBLANK(AI16)),1,2)</f>
        <v>1</v>
      </c>
      <c r="AM16" s="26">
        <f>IF(ISBLANK(Z16),IF(ISBLANK(AC16),IF(ISBLANK(AF16),IF(ISBLANK(AI16),0,4),3),2),1)</f>
        <v>0</v>
      </c>
      <c r="AN16" s="18"/>
      <c r="AS16" s="13"/>
      <c r="AT16" s="13"/>
      <c r="AU16" s="13"/>
    </row>
    <row r="17" spans="2:47" ht="4.95" customHeight="1" x14ac:dyDescent="0.3">
      <c r="AL17" s="25"/>
      <c r="AM17" s="25"/>
      <c r="AN17" s="18"/>
      <c r="AS17" s="13"/>
      <c r="AT17" s="13"/>
      <c r="AU17" s="13"/>
    </row>
    <row r="18" spans="2:47" ht="15" customHeight="1" x14ac:dyDescent="0.3">
      <c r="B18" s="1" t="s">
        <v>1</v>
      </c>
      <c r="C18" s="1"/>
      <c r="D18" s="1"/>
      <c r="E18" s="1"/>
      <c r="F18" s="1"/>
      <c r="G18" s="1"/>
      <c r="H18" s="1"/>
      <c r="I18" s="1"/>
      <c r="J18" s="1"/>
      <c r="AS18" s="13"/>
      <c r="AT18" s="13"/>
      <c r="AU18" s="13"/>
    </row>
    <row r="19" spans="2:47" s="25" customFormat="1" ht="15" hidden="1" customHeight="1" x14ac:dyDescent="0.3">
      <c r="B19" s="30"/>
      <c r="C19" s="30"/>
      <c r="D19" s="30"/>
      <c r="E19" s="30"/>
      <c r="F19" s="30"/>
      <c r="G19" s="30"/>
      <c r="H19" s="30"/>
      <c r="I19" s="30"/>
      <c r="J19" s="30"/>
      <c r="L19" s="26">
        <f>IF(ISBLANK(L20),1,2)</f>
        <v>1</v>
      </c>
      <c r="P19" s="26">
        <f>IF(ISBLANK(P20),1,2)</f>
        <v>1</v>
      </c>
      <c r="T19" s="26">
        <f>IF(ISBLANK(T20),1,2)</f>
        <v>1</v>
      </c>
      <c r="X19" s="26">
        <f>IF(ISBLANK(X20),1,2)</f>
        <v>1</v>
      </c>
      <c r="AB19" s="26">
        <f>IF(ISBLANK(AB20),1,2)</f>
        <v>1</v>
      </c>
      <c r="AF19" s="26">
        <f>IF(ISBLANK(AF20),1,2)</f>
        <v>1</v>
      </c>
    </row>
    <row r="20" spans="2:47" ht="14.55" customHeight="1" x14ac:dyDescent="0.3">
      <c r="J20" s="2" t="s">
        <v>18</v>
      </c>
      <c r="L20" s="77"/>
      <c r="M20" s="77"/>
      <c r="N20" s="77"/>
      <c r="P20" s="77"/>
      <c r="Q20" s="77"/>
      <c r="R20" s="77"/>
      <c r="T20" s="77"/>
      <c r="U20" s="77"/>
      <c r="V20" s="77"/>
      <c r="X20" s="77"/>
      <c r="Y20" s="77"/>
      <c r="Z20" s="77"/>
      <c r="AB20" s="77"/>
      <c r="AC20" s="77"/>
      <c r="AD20" s="77"/>
      <c r="AF20" s="77"/>
      <c r="AG20" s="77"/>
      <c r="AH20" s="77"/>
      <c r="AI20" s="6"/>
      <c r="AS20" s="13"/>
      <c r="AT20" s="13"/>
      <c r="AU20" s="13"/>
    </row>
    <row r="21" spans="2:47" ht="14.55" customHeight="1" x14ac:dyDescent="0.3">
      <c r="H21" s="2" t="s">
        <v>99</v>
      </c>
      <c r="I21" s="82" t="str">
        <f>IF($AO$12=0,"Units?",IF($AO$12=1,"(ac):",IF($AO$12=2,"(sq-ft):","Error")))</f>
        <v>Units?</v>
      </c>
      <c r="J21" s="82"/>
      <c r="L21" s="73"/>
      <c r="M21" s="73"/>
      <c r="N21" s="73"/>
      <c r="P21" s="73"/>
      <c r="Q21" s="73"/>
      <c r="R21" s="73"/>
      <c r="T21" s="73"/>
      <c r="U21" s="73"/>
      <c r="V21" s="73"/>
      <c r="X21" s="74"/>
      <c r="Y21" s="74"/>
      <c r="Z21" s="74"/>
      <c r="AB21" s="73"/>
      <c r="AC21" s="73"/>
      <c r="AD21" s="73"/>
      <c r="AF21" s="73"/>
      <c r="AG21" s="73"/>
      <c r="AH21" s="73"/>
      <c r="AI21" s="8"/>
      <c r="AS21" s="13"/>
      <c r="AT21" s="13"/>
      <c r="AU21" s="13"/>
    </row>
    <row r="22" spans="2:47" ht="14.55" customHeight="1" x14ac:dyDescent="0.3">
      <c r="J22" s="2" t="s">
        <v>2</v>
      </c>
      <c r="L22" s="75"/>
      <c r="M22" s="75"/>
      <c r="N22" s="75"/>
      <c r="P22" s="75"/>
      <c r="Q22" s="75"/>
      <c r="R22" s="75"/>
      <c r="T22" s="75"/>
      <c r="U22" s="75"/>
      <c r="V22" s="75"/>
      <c r="X22" s="75"/>
      <c r="Y22" s="75"/>
      <c r="Z22" s="75"/>
      <c r="AB22" s="75"/>
      <c r="AC22" s="75"/>
      <c r="AD22" s="75"/>
      <c r="AF22" s="75"/>
      <c r="AG22" s="75"/>
      <c r="AH22" s="75"/>
      <c r="AI22" s="7"/>
      <c r="AS22" s="13"/>
      <c r="AT22" s="13"/>
      <c r="AU22" s="13"/>
    </row>
    <row r="23" spans="2:47" ht="14.55" customHeight="1" x14ac:dyDescent="0.3">
      <c r="J23" s="2" t="s">
        <v>19</v>
      </c>
      <c r="L23" s="76"/>
      <c r="M23" s="76"/>
      <c r="N23" s="76"/>
      <c r="P23" s="76"/>
      <c r="Q23" s="76"/>
      <c r="R23" s="76"/>
      <c r="T23" s="76"/>
      <c r="U23" s="76"/>
      <c r="V23" s="76"/>
      <c r="X23" s="76"/>
      <c r="Y23" s="76"/>
      <c r="Z23" s="76"/>
      <c r="AB23" s="76"/>
      <c r="AC23" s="76"/>
      <c r="AD23" s="76"/>
      <c r="AF23" s="76"/>
      <c r="AG23" s="76"/>
      <c r="AH23" s="76"/>
      <c r="AI23" s="11"/>
      <c r="AS23" s="13"/>
      <c r="AT23" s="13"/>
      <c r="AU23" s="13"/>
    </row>
    <row r="24" spans="2:47" ht="14.55" customHeight="1" x14ac:dyDescent="0.3">
      <c r="D24" s="81" t="s">
        <v>83</v>
      </c>
      <c r="E24" s="81"/>
      <c r="F24" s="78">
        <f>Tables!$F$16</f>
        <v>4.21</v>
      </c>
      <c r="G24" s="78"/>
      <c r="H24" s="11"/>
      <c r="I24" s="11"/>
      <c r="J24" s="2" t="str">
        <f>Tables!$D$16</f>
        <v>(2-yr)</v>
      </c>
      <c r="L24" s="74"/>
      <c r="M24" s="74"/>
      <c r="N24" s="74"/>
      <c r="P24" s="74"/>
      <c r="Q24" s="74"/>
      <c r="R24" s="74"/>
      <c r="T24" s="74"/>
      <c r="U24" s="74"/>
      <c r="V24" s="74"/>
      <c r="X24" s="74"/>
      <c r="Y24" s="74"/>
      <c r="Z24" s="74"/>
      <c r="AB24" s="74"/>
      <c r="AC24" s="74"/>
      <c r="AD24" s="74"/>
      <c r="AF24" s="74"/>
      <c r="AG24" s="74"/>
      <c r="AH24" s="74"/>
      <c r="AI24" s="8"/>
      <c r="AS24" s="13"/>
      <c r="AT24" s="13"/>
      <c r="AU24" s="13"/>
    </row>
    <row r="25" spans="2:47" ht="14.55" customHeight="1" x14ac:dyDescent="0.3">
      <c r="D25" s="81"/>
      <c r="E25" s="81"/>
      <c r="F25" s="78">
        <f>Tables!$F$17</f>
        <v>5.24</v>
      </c>
      <c r="G25" s="78"/>
      <c r="H25" s="11"/>
      <c r="I25" s="11"/>
      <c r="J25" s="2" t="str">
        <f>Tables!$D$17</f>
        <v>(5-yr)</v>
      </c>
      <c r="L25" s="73"/>
      <c r="M25" s="73"/>
      <c r="N25" s="73"/>
      <c r="P25" s="73"/>
      <c r="Q25" s="73"/>
      <c r="R25" s="73"/>
      <c r="T25" s="73"/>
      <c r="U25" s="73"/>
      <c r="V25" s="73"/>
      <c r="X25" s="73"/>
      <c r="Y25" s="73"/>
      <c r="Z25" s="73"/>
      <c r="AB25" s="73"/>
      <c r="AC25" s="73"/>
      <c r="AD25" s="73"/>
      <c r="AF25" s="73"/>
      <c r="AG25" s="73"/>
      <c r="AH25" s="73"/>
      <c r="AI25" s="8"/>
      <c r="AS25" s="13"/>
      <c r="AT25" s="13"/>
      <c r="AU25" s="13"/>
    </row>
    <row r="26" spans="2:47" ht="14.55" customHeight="1" x14ac:dyDescent="0.3">
      <c r="D26" s="81"/>
      <c r="E26" s="81"/>
      <c r="F26" s="78">
        <f>Tables!$F$18</f>
        <v>6.17</v>
      </c>
      <c r="G26" s="78"/>
      <c r="H26" s="11"/>
      <c r="I26" s="11"/>
      <c r="J26" s="2" t="str">
        <f>Tables!$D$18</f>
        <v>(10-yr)</v>
      </c>
      <c r="L26" s="73"/>
      <c r="M26" s="73"/>
      <c r="N26" s="73"/>
      <c r="P26" s="73"/>
      <c r="Q26" s="73"/>
      <c r="R26" s="73"/>
      <c r="T26" s="73"/>
      <c r="U26" s="73"/>
      <c r="V26" s="73"/>
      <c r="X26" s="73"/>
      <c r="Y26" s="73"/>
      <c r="Z26" s="73"/>
      <c r="AB26" s="73"/>
      <c r="AC26" s="73"/>
      <c r="AD26" s="73"/>
      <c r="AF26" s="73"/>
      <c r="AG26" s="73"/>
      <c r="AH26" s="73"/>
      <c r="AI26" s="8"/>
      <c r="AS26" s="13"/>
      <c r="AT26" s="13"/>
      <c r="AU26" s="13"/>
    </row>
    <row r="27" spans="2:47" ht="14.55" customHeight="1" x14ac:dyDescent="0.3">
      <c r="D27" s="81"/>
      <c r="E27" s="81"/>
      <c r="F27" s="78">
        <f>Tables!$F$19</f>
        <v>7.55</v>
      </c>
      <c r="G27" s="78"/>
      <c r="H27" s="11"/>
      <c r="I27" s="11"/>
      <c r="J27" s="2" t="str">
        <f>Tables!$D$19</f>
        <v>(25-yr)</v>
      </c>
      <c r="L27" s="73"/>
      <c r="M27" s="73"/>
      <c r="N27" s="73"/>
      <c r="P27" s="73"/>
      <c r="Q27" s="73"/>
      <c r="R27" s="73"/>
      <c r="T27" s="73"/>
      <c r="U27" s="73"/>
      <c r="V27" s="73"/>
      <c r="X27" s="73"/>
      <c r="Y27" s="73"/>
      <c r="Z27" s="73"/>
      <c r="AB27" s="73"/>
      <c r="AC27" s="73"/>
      <c r="AD27" s="73"/>
      <c r="AF27" s="73"/>
      <c r="AG27" s="73"/>
      <c r="AH27" s="73"/>
      <c r="AI27" s="8"/>
      <c r="AS27" s="13"/>
      <c r="AT27" s="13"/>
      <c r="AU27" s="13"/>
    </row>
    <row r="28" spans="2:47" ht="14.55" customHeight="1" x14ac:dyDescent="0.3">
      <c r="D28" s="81"/>
      <c r="E28" s="81"/>
      <c r="F28" s="78">
        <f>Tables!$F$20</f>
        <v>8.6999999999999993</v>
      </c>
      <c r="G28" s="78"/>
      <c r="H28" s="11"/>
      <c r="I28" s="11"/>
      <c r="J28" s="2" t="str">
        <f>Tables!$D$20</f>
        <v>(50-yr)</v>
      </c>
      <c r="L28" s="73"/>
      <c r="M28" s="73"/>
      <c r="N28" s="73"/>
      <c r="P28" s="73"/>
      <c r="Q28" s="73"/>
      <c r="R28" s="73"/>
      <c r="T28" s="73"/>
      <c r="U28" s="73"/>
      <c r="V28" s="73"/>
      <c r="X28" s="73"/>
      <c r="Y28" s="73"/>
      <c r="Z28" s="73"/>
      <c r="AB28" s="73"/>
      <c r="AC28" s="73"/>
      <c r="AD28" s="73"/>
      <c r="AF28" s="73"/>
      <c r="AG28" s="73"/>
      <c r="AH28" s="73"/>
      <c r="AI28" s="8"/>
    </row>
    <row r="29" spans="2:47" ht="14.55" customHeight="1" x14ac:dyDescent="0.3">
      <c r="D29" s="81"/>
      <c r="E29" s="81"/>
      <c r="F29" s="78">
        <f>Tables!$F$21</f>
        <v>9.93</v>
      </c>
      <c r="G29" s="78"/>
      <c r="H29" s="11"/>
      <c r="I29" s="11"/>
      <c r="J29" s="2" t="str">
        <f>Tables!$D$21</f>
        <v>(100-yr)</v>
      </c>
      <c r="L29" s="73"/>
      <c r="M29" s="73"/>
      <c r="N29" s="73"/>
      <c r="P29" s="73"/>
      <c r="Q29" s="73"/>
      <c r="R29" s="73"/>
      <c r="T29" s="73"/>
      <c r="U29" s="73"/>
      <c r="V29" s="73"/>
      <c r="X29" s="73"/>
      <c r="Y29" s="73"/>
      <c r="Z29" s="73"/>
      <c r="AB29" s="73"/>
      <c r="AC29" s="73"/>
      <c r="AD29" s="73"/>
      <c r="AF29" s="73"/>
      <c r="AG29" s="73"/>
      <c r="AH29" s="73"/>
      <c r="AI29" s="8"/>
      <c r="AO29" s="27"/>
      <c r="AP29" s="27"/>
    </row>
    <row r="30" spans="2:47" ht="15" customHeight="1" x14ac:dyDescent="0.3">
      <c r="AO30" s="27"/>
      <c r="AP30" s="27"/>
    </row>
    <row r="31" spans="2:47" ht="15" customHeight="1" x14ac:dyDescent="0.3">
      <c r="B31" s="1" t="s">
        <v>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F31" s="1"/>
      <c r="AG31" s="1"/>
      <c r="AS31" s="14"/>
      <c r="AT31" s="14"/>
      <c r="AU31" s="14"/>
    </row>
    <row r="32" spans="2:47" s="25" customFormat="1" ht="15.6" hidden="1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L32" s="26">
        <f>IF(ISBLANK(L33),1,2)</f>
        <v>1</v>
      </c>
      <c r="P32" s="26">
        <f>IF(ISBLANK(P33),1,2)</f>
        <v>1</v>
      </c>
      <c r="T32" s="26">
        <f>IF(ISBLANK(T33),1,2)</f>
        <v>1</v>
      </c>
      <c r="X32" s="26">
        <f>IF(ISBLANK(X33),1,2)</f>
        <v>1</v>
      </c>
      <c r="AB32" s="26">
        <f>IF(ISBLANK(AB33),1,2)</f>
        <v>1</v>
      </c>
      <c r="AF32" s="26">
        <f>IF(ISBLANK(AF33),1,2)</f>
        <v>1</v>
      </c>
      <c r="AL32" s="17"/>
      <c r="AM32" s="17"/>
      <c r="AN32" s="17"/>
    </row>
    <row r="33" spans="4:47" ht="14.55" customHeight="1" x14ac:dyDescent="0.3">
      <c r="J33" s="2" t="s">
        <v>18</v>
      </c>
      <c r="L33" s="77"/>
      <c r="M33" s="77"/>
      <c r="N33" s="77"/>
      <c r="P33" s="77"/>
      <c r="Q33" s="77"/>
      <c r="R33" s="77"/>
      <c r="T33" s="77"/>
      <c r="U33" s="77"/>
      <c r="V33" s="77"/>
      <c r="X33" s="77"/>
      <c r="Y33" s="77"/>
      <c r="Z33" s="77"/>
      <c r="AB33" s="77"/>
      <c r="AC33" s="77"/>
      <c r="AD33" s="77"/>
      <c r="AF33" s="77"/>
      <c r="AG33" s="77"/>
      <c r="AH33" s="77"/>
      <c r="AI33" s="6"/>
    </row>
    <row r="34" spans="4:47" ht="14.55" customHeight="1" x14ac:dyDescent="0.3">
      <c r="H34" s="2" t="s">
        <v>99</v>
      </c>
      <c r="I34" s="82" t="str">
        <f>IF($AO$12=0,"Units?",IF($AO$12=1,"(ac):",IF($AO$12=2,"(sq-ft):","Error")))</f>
        <v>Units?</v>
      </c>
      <c r="J34" s="82"/>
      <c r="L34" s="73"/>
      <c r="M34" s="73"/>
      <c r="N34" s="73"/>
      <c r="P34" s="74"/>
      <c r="Q34" s="74"/>
      <c r="R34" s="74"/>
      <c r="T34" s="73"/>
      <c r="U34" s="73"/>
      <c r="V34" s="73"/>
      <c r="X34" s="73"/>
      <c r="Y34" s="73"/>
      <c r="Z34" s="73"/>
      <c r="AB34" s="73"/>
      <c r="AC34" s="73"/>
      <c r="AD34" s="73"/>
      <c r="AF34" s="73"/>
      <c r="AG34" s="73"/>
      <c r="AH34" s="73"/>
    </row>
    <row r="35" spans="4:47" ht="14.55" customHeight="1" x14ac:dyDescent="0.3">
      <c r="J35" s="2" t="s">
        <v>2</v>
      </c>
      <c r="L35" s="75"/>
      <c r="M35" s="75"/>
      <c r="N35" s="75"/>
      <c r="P35" s="75"/>
      <c r="Q35" s="75"/>
      <c r="R35" s="75"/>
      <c r="T35" s="75"/>
      <c r="U35" s="75"/>
      <c r="V35" s="75"/>
      <c r="X35" s="75"/>
      <c r="Y35" s="75"/>
      <c r="Z35" s="75"/>
      <c r="AB35" s="75"/>
      <c r="AC35" s="75"/>
      <c r="AD35" s="75"/>
      <c r="AF35" s="75"/>
      <c r="AG35" s="75"/>
      <c r="AH35" s="75"/>
    </row>
    <row r="36" spans="4:47" ht="14.55" customHeight="1" x14ac:dyDescent="0.3">
      <c r="J36" s="2" t="s">
        <v>19</v>
      </c>
      <c r="L36" s="76"/>
      <c r="M36" s="76"/>
      <c r="N36" s="76"/>
      <c r="P36" s="76"/>
      <c r="Q36" s="76"/>
      <c r="R36" s="76"/>
      <c r="T36" s="76"/>
      <c r="U36" s="76"/>
      <c r="V36" s="76"/>
      <c r="X36" s="76"/>
      <c r="Y36" s="76"/>
      <c r="Z36" s="76"/>
      <c r="AB36" s="76"/>
      <c r="AC36" s="76"/>
      <c r="AD36" s="76"/>
      <c r="AF36" s="76"/>
      <c r="AG36" s="76"/>
      <c r="AH36" s="76"/>
    </row>
    <row r="37" spans="4:47" ht="14.55" customHeight="1" x14ac:dyDescent="0.3">
      <c r="D37" s="81" t="s">
        <v>83</v>
      </c>
      <c r="E37" s="81"/>
      <c r="F37" s="78">
        <f>Tables!$F$16</f>
        <v>4.21</v>
      </c>
      <c r="G37" s="78"/>
      <c r="H37" s="11"/>
      <c r="I37" s="11"/>
      <c r="J37" s="2" t="str">
        <f>Tables!$D$16</f>
        <v>(2-yr)</v>
      </c>
      <c r="L37" s="74"/>
      <c r="M37" s="74"/>
      <c r="N37" s="74"/>
      <c r="O37" s="3"/>
      <c r="P37" s="74"/>
      <c r="Q37" s="74"/>
      <c r="R37" s="74"/>
      <c r="T37" s="74"/>
      <c r="U37" s="74"/>
      <c r="V37" s="74"/>
      <c r="X37" s="74"/>
      <c r="Y37" s="74"/>
      <c r="Z37" s="74"/>
      <c r="AB37" s="74"/>
      <c r="AC37" s="74"/>
      <c r="AD37" s="74"/>
      <c r="AF37" s="74"/>
      <c r="AG37" s="74"/>
      <c r="AH37" s="74"/>
      <c r="AS37" s="13"/>
      <c r="AT37" s="13"/>
      <c r="AU37" s="13"/>
    </row>
    <row r="38" spans="4:47" ht="14.55" customHeight="1" x14ac:dyDescent="0.3">
      <c r="D38" s="81"/>
      <c r="E38" s="81"/>
      <c r="F38" s="78">
        <f>Tables!$F$17</f>
        <v>5.24</v>
      </c>
      <c r="G38" s="78"/>
      <c r="H38" s="11"/>
      <c r="I38" s="11"/>
      <c r="J38" s="2" t="str">
        <f>Tables!$D$17</f>
        <v>(5-yr)</v>
      </c>
      <c r="L38" s="73"/>
      <c r="M38" s="73"/>
      <c r="N38" s="73"/>
      <c r="O38" s="3"/>
      <c r="P38" s="73"/>
      <c r="Q38" s="73"/>
      <c r="R38" s="73"/>
      <c r="T38" s="73"/>
      <c r="U38" s="73"/>
      <c r="V38" s="73"/>
      <c r="X38" s="73"/>
      <c r="Y38" s="73"/>
      <c r="Z38" s="73"/>
      <c r="AB38" s="73"/>
      <c r="AC38" s="73"/>
      <c r="AD38" s="73"/>
      <c r="AF38" s="73"/>
      <c r="AG38" s="73"/>
      <c r="AH38" s="73"/>
      <c r="AS38" s="14"/>
      <c r="AT38" s="14"/>
      <c r="AU38" s="14"/>
    </row>
    <row r="39" spans="4:47" ht="14.55" customHeight="1" x14ac:dyDescent="0.3">
      <c r="D39" s="81"/>
      <c r="E39" s="81"/>
      <c r="F39" s="78">
        <f>Tables!$F$18</f>
        <v>6.17</v>
      </c>
      <c r="G39" s="78"/>
      <c r="H39" s="11"/>
      <c r="I39" s="11"/>
      <c r="J39" s="2" t="str">
        <f>Tables!$D$18</f>
        <v>(10-yr)</v>
      </c>
      <c r="L39" s="73"/>
      <c r="M39" s="73"/>
      <c r="N39" s="73"/>
      <c r="O39" s="3"/>
      <c r="P39" s="73"/>
      <c r="Q39" s="73"/>
      <c r="R39" s="73"/>
      <c r="T39" s="73"/>
      <c r="U39" s="73"/>
      <c r="V39" s="73"/>
      <c r="X39" s="73"/>
      <c r="Y39" s="73"/>
      <c r="Z39" s="73"/>
      <c r="AB39" s="73"/>
      <c r="AC39" s="73"/>
      <c r="AD39" s="73"/>
      <c r="AF39" s="73"/>
      <c r="AG39" s="73"/>
      <c r="AH39" s="73"/>
    </row>
    <row r="40" spans="4:47" ht="14.55" customHeight="1" x14ac:dyDescent="0.3">
      <c r="D40" s="81"/>
      <c r="E40" s="81"/>
      <c r="F40" s="78">
        <f>Tables!$F$19</f>
        <v>7.55</v>
      </c>
      <c r="G40" s="78"/>
      <c r="H40" s="11"/>
      <c r="I40" s="11"/>
      <c r="J40" s="2" t="str">
        <f>Tables!$D$19</f>
        <v>(25-yr)</v>
      </c>
      <c r="L40" s="73"/>
      <c r="M40" s="73"/>
      <c r="N40" s="73"/>
      <c r="O40" s="3"/>
      <c r="P40" s="73"/>
      <c r="Q40" s="73"/>
      <c r="R40" s="73"/>
      <c r="T40" s="73"/>
      <c r="U40" s="73"/>
      <c r="V40" s="73"/>
      <c r="X40" s="73"/>
      <c r="Y40" s="73"/>
      <c r="Z40" s="73"/>
      <c r="AB40" s="73"/>
      <c r="AC40" s="73"/>
      <c r="AD40" s="73"/>
      <c r="AF40" s="73"/>
      <c r="AG40" s="73"/>
      <c r="AH40" s="73"/>
    </row>
    <row r="41" spans="4:47" ht="14.55" customHeight="1" x14ac:dyDescent="0.3">
      <c r="D41" s="81"/>
      <c r="E41" s="81"/>
      <c r="F41" s="78">
        <f>Tables!$F$20</f>
        <v>8.6999999999999993</v>
      </c>
      <c r="G41" s="78"/>
      <c r="H41" s="11"/>
      <c r="I41" s="11"/>
      <c r="J41" s="2" t="str">
        <f>Tables!$D$20</f>
        <v>(50-yr)</v>
      </c>
      <c r="L41" s="73"/>
      <c r="M41" s="73"/>
      <c r="N41" s="73"/>
      <c r="O41" s="3"/>
      <c r="P41" s="73"/>
      <c r="Q41" s="73"/>
      <c r="R41" s="73"/>
      <c r="T41" s="73"/>
      <c r="U41" s="73"/>
      <c r="V41" s="73"/>
      <c r="X41" s="73"/>
      <c r="Y41" s="73"/>
      <c r="Z41" s="73"/>
      <c r="AB41" s="73"/>
      <c r="AC41" s="73"/>
      <c r="AD41" s="73"/>
      <c r="AF41" s="73"/>
      <c r="AG41" s="73"/>
      <c r="AH41" s="73"/>
    </row>
    <row r="42" spans="4:47" ht="14.55" customHeight="1" x14ac:dyDescent="0.3">
      <c r="D42" s="81"/>
      <c r="E42" s="81"/>
      <c r="F42" s="78">
        <f>Tables!$F$21</f>
        <v>9.93</v>
      </c>
      <c r="G42" s="78"/>
      <c r="H42" s="11"/>
      <c r="I42" s="11"/>
      <c r="J42" s="2" t="str">
        <f>Tables!$D$21</f>
        <v>(100-yr)</v>
      </c>
      <c r="L42" s="73"/>
      <c r="M42" s="73"/>
      <c r="N42" s="73"/>
      <c r="O42" s="3"/>
      <c r="P42" s="73"/>
      <c r="Q42" s="73"/>
      <c r="R42" s="73"/>
      <c r="T42" s="73"/>
      <c r="U42" s="73"/>
      <c r="V42" s="73"/>
      <c r="X42" s="73"/>
      <c r="Y42" s="73"/>
      <c r="Z42" s="73"/>
      <c r="AB42" s="73"/>
      <c r="AC42" s="73"/>
      <c r="AD42" s="73"/>
      <c r="AF42" s="73"/>
      <c r="AG42" s="73"/>
      <c r="AH42" s="73"/>
    </row>
    <row r="43" spans="4:47" ht="15" customHeight="1" x14ac:dyDescent="0.3">
      <c r="AG43" s="6"/>
      <c r="AH43" s="6"/>
    </row>
    <row r="44" spans="4:47" ht="15" customHeight="1" x14ac:dyDescent="0.3">
      <c r="AG44" s="6"/>
      <c r="AH44" s="6"/>
    </row>
    <row r="45" spans="4:47" ht="15" customHeight="1" x14ac:dyDescent="0.3">
      <c r="AG45" s="6"/>
      <c r="AH45" s="6"/>
    </row>
    <row r="46" spans="4:47" ht="15" customHeight="1" x14ac:dyDescent="0.3">
      <c r="AG46" s="6"/>
      <c r="AH46" s="6"/>
    </row>
    <row r="47" spans="4:47" ht="15" customHeight="1" x14ac:dyDescent="0.3"/>
    <row r="48" spans="4:47" ht="15" customHeight="1" x14ac:dyDescent="0.3"/>
    <row r="49" spans="2:26" ht="15" customHeight="1" x14ac:dyDescent="0.3"/>
    <row r="50" spans="2:26" ht="15" customHeight="1" x14ac:dyDescent="0.3">
      <c r="J50" s="2"/>
      <c r="K50" s="28"/>
      <c r="N50" s="28"/>
      <c r="V50" s="2"/>
      <c r="W50" s="28"/>
      <c r="Z50" s="28"/>
    </row>
    <row r="51" spans="2:26" ht="15" customHeight="1" x14ac:dyDescent="0.3">
      <c r="B51" s="85">
        <f>Tables!$F$13</f>
        <v>46082</v>
      </c>
      <c r="C51" s="85"/>
      <c r="D51" s="85"/>
      <c r="E51" s="85"/>
      <c r="F51" s="85"/>
      <c r="G51" s="24"/>
      <c r="H51" s="24"/>
      <c r="I51" s="24"/>
      <c r="T51" s="6" t="s">
        <v>209</v>
      </c>
    </row>
    <row r="52" spans="2:26" ht="15" customHeight="1" x14ac:dyDescent="0.3"/>
    <row r="53" spans="2:26" ht="15" customHeight="1" x14ac:dyDescent="0.3"/>
    <row r="54" spans="2:26" ht="15" customHeight="1" x14ac:dyDescent="0.3"/>
    <row r="55" spans="2:26" ht="15" customHeight="1" x14ac:dyDescent="0.3"/>
    <row r="56" spans="2:26" ht="13.8" hidden="1" x14ac:dyDescent="0.3"/>
  </sheetData>
  <sheetProtection algorithmName="SHA-512" hashValue="xYwNxZcNMkgW02d+VY7yKH3ChXsT+BlSE9a/VLr4H8rUs+pT6JGm+RSAD99EscvJWagUD2Zly9uJk/GdXpNwCg==" saltValue="4jXF850GKFWBgkuP24ZQwQ==" spinCount="100000" sheet="1" objects="1" scenarios="1" selectLockedCells="1"/>
  <mergeCells count="143">
    <mergeCell ref="AF20:AH20"/>
    <mergeCell ref="AF22:AH22"/>
    <mergeCell ref="AF23:AH23"/>
    <mergeCell ref="AF33:AH33"/>
    <mergeCell ref="AF35:AH35"/>
    <mergeCell ref="AF36:AH36"/>
    <mergeCell ref="P1:AJ4"/>
    <mergeCell ref="AD6:AJ6"/>
    <mergeCell ref="B51:F51"/>
    <mergeCell ref="L21:N21"/>
    <mergeCell ref="L22:N22"/>
    <mergeCell ref="L23:N23"/>
    <mergeCell ref="L24:N24"/>
    <mergeCell ref="L25:N25"/>
    <mergeCell ref="L26:N26"/>
    <mergeCell ref="L27:N27"/>
    <mergeCell ref="L33:N33"/>
    <mergeCell ref="P33:R33"/>
    <mergeCell ref="L29:N29"/>
    <mergeCell ref="T21:V21"/>
    <mergeCell ref="F29:G29"/>
    <mergeCell ref="D37:E42"/>
    <mergeCell ref="I34:J34"/>
    <mergeCell ref="L34:N34"/>
    <mergeCell ref="L35:N35"/>
    <mergeCell ref="L36:N36"/>
    <mergeCell ref="L37:N37"/>
    <mergeCell ref="L38:N38"/>
    <mergeCell ref="I21:J21"/>
    <mergeCell ref="F38:G38"/>
    <mergeCell ref="F39:G39"/>
    <mergeCell ref="X34:Z34"/>
    <mergeCell ref="P28:R28"/>
    <mergeCell ref="P27:R27"/>
    <mergeCell ref="P21:R21"/>
    <mergeCell ref="AF21:AH21"/>
    <mergeCell ref="AF24:AH24"/>
    <mergeCell ref="AF25:AH25"/>
    <mergeCell ref="T25:V25"/>
    <mergeCell ref="T26:V26"/>
    <mergeCell ref="T27:V27"/>
    <mergeCell ref="T28:V28"/>
    <mergeCell ref="X21:Z21"/>
    <mergeCell ref="X22:Z22"/>
    <mergeCell ref="X23:Z23"/>
    <mergeCell ref="X24:Z24"/>
    <mergeCell ref="AB25:AD25"/>
    <mergeCell ref="AB21:AD21"/>
    <mergeCell ref="D24:E29"/>
    <mergeCell ref="T20:V20"/>
    <mergeCell ref="F27:G27"/>
    <mergeCell ref="F28:G28"/>
    <mergeCell ref="AB22:AD22"/>
    <mergeCell ref="AB23:AD23"/>
    <mergeCell ref="AB24:AD24"/>
    <mergeCell ref="P22:R22"/>
    <mergeCell ref="P23:R23"/>
    <mergeCell ref="P24:R24"/>
    <mergeCell ref="P25:R25"/>
    <mergeCell ref="P26:R26"/>
    <mergeCell ref="AB26:AD26"/>
    <mergeCell ref="F25:G25"/>
    <mergeCell ref="F26:G26"/>
    <mergeCell ref="L28:N28"/>
    <mergeCell ref="T24:V24"/>
    <mergeCell ref="X25:Z25"/>
    <mergeCell ref="L20:N20"/>
    <mergeCell ref="X33:Z33"/>
    <mergeCell ref="AB33:AD33"/>
    <mergeCell ref="X26:Z26"/>
    <mergeCell ref="X27:Z27"/>
    <mergeCell ref="X28:Z28"/>
    <mergeCell ref="X29:Z29"/>
    <mergeCell ref="AB29:AD29"/>
    <mergeCell ref="T29:V29"/>
    <mergeCell ref="P29:R29"/>
    <mergeCell ref="AB27:AD27"/>
    <mergeCell ref="AB28:AD28"/>
    <mergeCell ref="P20:R20"/>
    <mergeCell ref="X20:Z20"/>
    <mergeCell ref="AB20:AD20"/>
    <mergeCell ref="F40:G40"/>
    <mergeCell ref="F41:G41"/>
    <mergeCell ref="F42:G42"/>
    <mergeCell ref="AB37:AD37"/>
    <mergeCell ref="AB38:AD38"/>
    <mergeCell ref="AB39:AD39"/>
    <mergeCell ref="AB40:AD40"/>
    <mergeCell ref="AB41:AD41"/>
    <mergeCell ref="AB42:AD42"/>
    <mergeCell ref="P39:R39"/>
    <mergeCell ref="P40:R40"/>
    <mergeCell ref="P41:R41"/>
    <mergeCell ref="P42:R42"/>
    <mergeCell ref="T42:V42"/>
    <mergeCell ref="T39:V39"/>
    <mergeCell ref="T40:V40"/>
    <mergeCell ref="T41:V41"/>
    <mergeCell ref="L39:N39"/>
    <mergeCell ref="L40:N40"/>
    <mergeCell ref="L41:N41"/>
    <mergeCell ref="L42:N42"/>
    <mergeCell ref="F37:G37"/>
    <mergeCell ref="X38:Z38"/>
    <mergeCell ref="AF42:AH42"/>
    <mergeCell ref="X39:Z39"/>
    <mergeCell ref="X40:Z40"/>
    <mergeCell ref="X41:Z41"/>
    <mergeCell ref="X42:Z42"/>
    <mergeCell ref="T33:V33"/>
    <mergeCell ref="T34:V34"/>
    <mergeCell ref="T35:V35"/>
    <mergeCell ref="T36:V36"/>
    <mergeCell ref="T37:V37"/>
    <mergeCell ref="T38:V38"/>
    <mergeCell ref="X37:Z37"/>
    <mergeCell ref="X35:Z35"/>
    <mergeCell ref="X36:Z36"/>
    <mergeCell ref="AB35:AD35"/>
    <mergeCell ref="AE7:AJ7"/>
    <mergeCell ref="AE8:AJ8"/>
    <mergeCell ref="AF39:AH39"/>
    <mergeCell ref="AF40:AH40"/>
    <mergeCell ref="AF41:AH41"/>
    <mergeCell ref="AF34:AH34"/>
    <mergeCell ref="P34:R34"/>
    <mergeCell ref="AB34:AD34"/>
    <mergeCell ref="P35:R35"/>
    <mergeCell ref="P36:R36"/>
    <mergeCell ref="P37:R37"/>
    <mergeCell ref="P38:R38"/>
    <mergeCell ref="AF29:AH29"/>
    <mergeCell ref="AF28:AH28"/>
    <mergeCell ref="AF26:AH26"/>
    <mergeCell ref="AF27:AH27"/>
    <mergeCell ref="T22:V22"/>
    <mergeCell ref="T23:V23"/>
    <mergeCell ref="AB36:AD36"/>
    <mergeCell ref="AF37:AH37"/>
    <mergeCell ref="AF38:AH38"/>
    <mergeCell ref="E7:X7"/>
    <mergeCell ref="E8:X8"/>
    <mergeCell ref="F24:G24"/>
  </mergeCells>
  <conditionalFormatting sqref="C12 L12 C14 L14 C16">
    <cfRule type="expression" dxfId="38" priority="5">
      <formula>$AQ$7&gt;1</formula>
    </cfRule>
    <cfRule type="expression" priority="1494" stopIfTrue="1">
      <formula>$AL$10=2</formula>
    </cfRule>
    <cfRule type="expression" dxfId="37" priority="1495">
      <formula>$AL$10=1</formula>
    </cfRule>
  </conditionalFormatting>
  <conditionalFormatting sqref="E7:E8">
    <cfRule type="expression" dxfId="36" priority="430">
      <formula>ISBLANK(E7)</formula>
    </cfRule>
  </conditionalFormatting>
  <conditionalFormatting sqref="I21 I34">
    <cfRule type="expression" dxfId="35" priority="1490">
      <formula>$AO$12=3</formula>
    </cfRule>
  </conditionalFormatting>
  <conditionalFormatting sqref="I21:J21 I34:J34">
    <cfRule type="expression" dxfId="34" priority="1488">
      <formula>$AL$12=1</formula>
    </cfRule>
  </conditionalFormatting>
  <conditionalFormatting sqref="L20">
    <cfRule type="cellIs" priority="14" operator="greaterThan">
      <formula>0</formula>
    </cfRule>
    <cfRule type="expression" dxfId="33" priority="15">
      <formula>ISBLANK($L20)</formula>
    </cfRule>
  </conditionalFormatting>
  <conditionalFormatting sqref="L21:L29">
    <cfRule type="cellIs" dxfId="32" priority="6" operator="greaterThan">
      <formula>0</formula>
    </cfRule>
    <cfRule type="expression" dxfId="31" priority="7">
      <formula>$L$19=2</formula>
    </cfRule>
  </conditionalFormatting>
  <conditionalFormatting sqref="L33">
    <cfRule type="cellIs" priority="449" operator="greaterThan">
      <formula>0</formula>
    </cfRule>
    <cfRule type="expression" dxfId="30" priority="450">
      <formula>ISBLANK($L$33)</formula>
    </cfRule>
  </conditionalFormatting>
  <conditionalFormatting sqref="L34:L42">
    <cfRule type="cellIs" dxfId="29" priority="461" operator="greaterThan">
      <formula>0</formula>
    </cfRule>
    <cfRule type="expression" dxfId="28" priority="462">
      <formula>$L$32=2</formula>
    </cfRule>
  </conditionalFormatting>
  <conditionalFormatting sqref="L21:N21 P21:R21 T21:V21 X21:Z21 AB21:AD21 AF21:AH21 L34:N34 P34:R34 T34:V34 X34:Z34 AB34:AD34 AF34:AH34">
    <cfRule type="expression" dxfId="27" priority="1492">
      <formula>$AO$12=2</formula>
    </cfRule>
    <cfRule type="expression" dxfId="26" priority="1493">
      <formula>$AO$12=1</formula>
    </cfRule>
  </conditionalFormatting>
  <conditionalFormatting sqref="P21:P29">
    <cfRule type="cellIs" dxfId="25" priority="453" operator="greaterThan">
      <formula>0</formula>
    </cfRule>
    <cfRule type="expression" dxfId="24" priority="454">
      <formula>$P$19=2</formula>
    </cfRule>
  </conditionalFormatting>
  <conditionalFormatting sqref="P34:P42">
    <cfRule type="cellIs" dxfId="23" priority="463" operator="greaterThan">
      <formula>0</formula>
    </cfRule>
    <cfRule type="expression" dxfId="22" priority="464">
      <formula>$P$32=2</formula>
    </cfRule>
  </conditionalFormatting>
  <conditionalFormatting sqref="P1:AJ4">
    <cfRule type="expression" dxfId="21" priority="4">
      <formula>$AO$7=0</formula>
    </cfRule>
  </conditionalFormatting>
  <conditionalFormatting sqref="T21:T29">
    <cfRule type="cellIs" dxfId="20" priority="455" operator="greaterThan">
      <formula>0</formula>
    </cfRule>
    <cfRule type="expression" dxfId="19" priority="456">
      <formula>$T$19=2</formula>
    </cfRule>
  </conditionalFormatting>
  <conditionalFormatting sqref="T34:T42">
    <cfRule type="cellIs" dxfId="18" priority="465" operator="greaterThan">
      <formula>0</formula>
    </cfRule>
    <cfRule type="expression" dxfId="17" priority="466">
      <formula>$T$32=2</formula>
    </cfRule>
  </conditionalFormatting>
  <conditionalFormatting sqref="X21:X29">
    <cfRule type="cellIs" dxfId="16" priority="457" operator="greaterThan">
      <formula>0</formula>
    </cfRule>
    <cfRule type="expression" dxfId="15" priority="458">
      <formula>$X$19=2</formula>
    </cfRule>
  </conditionalFormatting>
  <conditionalFormatting sqref="X34:X42">
    <cfRule type="cellIs" dxfId="14" priority="467" operator="greaterThan">
      <formula>0</formula>
    </cfRule>
    <cfRule type="expression" dxfId="13" priority="468">
      <formula>$X$32=2</formula>
    </cfRule>
  </conditionalFormatting>
  <conditionalFormatting sqref="Z12 AC12">
    <cfRule type="expression" dxfId="12" priority="3">
      <formula>$AO$12=3</formula>
    </cfRule>
    <cfRule type="expression" dxfId="11" priority="1486">
      <formula>$AL$12=1</formula>
    </cfRule>
  </conditionalFormatting>
  <conditionalFormatting sqref="Z16 AC16 AF16 AI16">
    <cfRule type="expression" priority="1361" stopIfTrue="1">
      <formula>$AL16=2</formula>
    </cfRule>
    <cfRule type="expression" dxfId="10" priority="1362">
      <formula>$AL16=1</formula>
    </cfRule>
  </conditionalFormatting>
  <conditionalFormatting sqref="AB21:AB29">
    <cfRule type="cellIs" dxfId="9" priority="459" operator="greaterThan">
      <formula>0</formula>
    </cfRule>
    <cfRule type="expression" dxfId="8" priority="460">
      <formula>$AB$19=2</formula>
    </cfRule>
  </conditionalFormatting>
  <conditionalFormatting sqref="AB34:AB42">
    <cfRule type="cellIs" dxfId="7" priority="469" operator="greaterThan">
      <formula>0</formula>
    </cfRule>
    <cfRule type="expression" dxfId="6" priority="470">
      <formula>$AB$32=2</formula>
    </cfRule>
  </conditionalFormatting>
  <conditionalFormatting sqref="AD6:AJ6">
    <cfRule type="cellIs" dxfId="5" priority="68" operator="equal">
      <formula>0</formula>
    </cfRule>
  </conditionalFormatting>
  <conditionalFormatting sqref="AE7:AJ8">
    <cfRule type="expression" dxfId="4" priority="263">
      <formula>ISBLANK(AE7)</formula>
    </cfRule>
  </conditionalFormatting>
  <conditionalFormatting sqref="AF21:AF29">
    <cfRule type="cellIs" dxfId="3" priority="19" operator="greaterThan">
      <formula>0</formula>
    </cfRule>
    <cfRule type="expression" dxfId="2" priority="20">
      <formula>$AF$19=2</formula>
    </cfRule>
  </conditionalFormatting>
  <conditionalFormatting sqref="AF34:AF42">
    <cfRule type="cellIs" dxfId="1" priority="21" operator="greaterThan">
      <formula>0</formula>
    </cfRule>
    <cfRule type="expression" dxfId="0" priority="22">
      <formula>$AF$32=2</formula>
    </cfRule>
  </conditionalFormatting>
  <pageMargins left="0.2" right="0.2" top="0.5" bottom="0.25" header="0.3" footer="0.3"/>
  <pageSetup fitToWidth="0" orientation="portrait" r:id="rId1"/>
  <colBreaks count="1" manualBreakCount="1">
    <brk id="43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Workbook Locked" error="On the Instructions Tab, accept the conditions to use this form._x000a__x000a_                     OR_x000a__x000a_This form has expired.  Please obtain the latest version of this form." xr:uid="{306CA1BD-32A3-469F-958A-33B9DA150433}">
          <x14:formula1>
            <xm:f>Tables!$B$8</xm:f>
          </x14:formula1>
          <xm:sqref>E7:X8 AD6:AJ6 C12 AC16 L12 C14 Z12 AC12 AF33:AH42 AF16 AI16 Z16 L21:N29 L14 P20:R29 T20:V29 X20:Z29 AB20:AD29 AB33:AD42 AE7:AJ8 L33:N42 P33:R42 T33:V42 X33:Z42 AF20:AH29 C16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License</vt:lpstr>
      <vt:lpstr>From 2.3 - Additional Basins</vt:lpstr>
      <vt:lpstr>Material</vt:lpstr>
      <vt:lpstr>'From 2.3 - Additional Basins'!Print_Area</vt:lpstr>
      <vt:lpstr>'From 2.3 - Additional Basins'!Print_Titles</vt:lpstr>
      <vt:lpstr>Shape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Dewayne Smith</dc:creator>
  <cp:lastModifiedBy>Dewayne Smith</cp:lastModifiedBy>
  <cp:lastPrinted>2026-03-04T02:39:49Z</cp:lastPrinted>
  <dcterms:created xsi:type="dcterms:W3CDTF">2021-11-21T16:55:43Z</dcterms:created>
  <dcterms:modified xsi:type="dcterms:W3CDTF">2026-03-04T12:28:25Z</dcterms:modified>
</cp:coreProperties>
</file>