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8E8FD23B-1D83-4C68-A08E-37A720489D82}" xr6:coauthVersionLast="47" xr6:coauthVersionMax="47" xr10:uidLastSave="{00000000-0000-0000-0000-000000000000}"/>
  <workbookProtection workbookAlgorithmName="SHA-512" workbookHashValue="yQwXVSWbvgCxrfy3ft91DaDTJ+H37Pm1GRlPQNccwg1JRD1qkP2oSVLN4GLu9r75XMvuVu1VVXn6dTVoOoIJPA==" workbookSaltValue="ZHd1ygTH2dr+7oGMweY9Tw==" workbookSpinCount="100000" lockStructure="1"/>
  <bookViews>
    <workbookView xWindow="14115" yWindow="-16320" windowWidth="29040" windowHeight="15720" firstSheet="1" activeTab="1" xr2:uid="{994EC860-6224-46C4-B304-9868EEFCD4CE}"/>
  </bookViews>
  <sheets>
    <sheet name="Tables" sheetId="2" state="veryHidden" r:id="rId1"/>
    <sheet name="License" sheetId="4" r:id="rId2"/>
    <sheet name="General Instructions" sheetId="9" r:id="rId3"/>
    <sheet name="Form 2D - Design" sheetId="5" r:id="rId4"/>
    <sheet name="Form 2D.2 - Design Attachment" sheetId="8" r:id="rId5"/>
    <sheet name="Form 3D - As-built" sheetId="6" r:id="rId6"/>
  </sheets>
  <definedNames>
    <definedName name="Logo">INDEX(Tables!$F$40:$F$45,MATCH(Tables!$F$14,Tables!$E$40:$E$45,0))</definedName>
    <definedName name="Material">Tables!$D$2:$D$10</definedName>
    <definedName name="_xlnm.Print_Area" localSheetId="3">'Form 2D - Design'!$A$1:$AK$208</definedName>
    <definedName name="_xlnm.Print_Area" localSheetId="4">'Form 2D.2 - Design Attachment'!$A$1:$AK$110</definedName>
    <definedName name="_xlnm.Print_Area" localSheetId="5">'Form 3D - As-built'!$A$1:$AL$243</definedName>
    <definedName name="_xlnm.Print_Titles" localSheetId="3">'Form 2D - Design'!$1:$4</definedName>
    <definedName name="_xlnm.Print_Titles" localSheetId="4">'Form 2D.2 - Design Attachment'!$1:$4</definedName>
    <definedName name="_xlnm.Print_Titles" localSheetId="5">'Form 3D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L151" i="5"/>
  <c r="AM149" i="5"/>
  <c r="AL149" i="5"/>
  <c r="AM147" i="5"/>
  <c r="AL147" i="5"/>
  <c r="AP52" i="8"/>
  <c r="AO52" i="8"/>
  <c r="AN52" i="8"/>
  <c r="AM52" i="8"/>
  <c r="AM51" i="8"/>
  <c r="AP50" i="8"/>
  <c r="AO50" i="8"/>
  <c r="AN50" i="8"/>
  <c r="AM50" i="8"/>
  <c r="AM49" i="8"/>
  <c r="AP48" i="8"/>
  <c r="AO48" i="8"/>
  <c r="AN48" i="8"/>
  <c r="AM48" i="8"/>
  <c r="AM47" i="8"/>
  <c r="AP46" i="8"/>
  <c r="AO46" i="8"/>
  <c r="AN46" i="8"/>
  <c r="AM46" i="8"/>
  <c r="AM45" i="8"/>
  <c r="AP44" i="8"/>
  <c r="AO44" i="8"/>
  <c r="AN44" i="8"/>
  <c r="AM44" i="8"/>
  <c r="AM43" i="8"/>
  <c r="AP42" i="8"/>
  <c r="AO42" i="8"/>
  <c r="AN42" i="8"/>
  <c r="AM42" i="8"/>
  <c r="AM41" i="8"/>
  <c r="AP40" i="8"/>
  <c r="AO40" i="8"/>
  <c r="AN40" i="8"/>
  <c r="AM40" i="8"/>
  <c r="AM39" i="8"/>
  <c r="AP38" i="8"/>
  <c r="AO38" i="8"/>
  <c r="AN38" i="8"/>
  <c r="AM38" i="8"/>
  <c r="AM37" i="8"/>
  <c r="AP36" i="8"/>
  <c r="AO36" i="8"/>
  <c r="AN36" i="8"/>
  <c r="AM36" i="8"/>
  <c r="AM35" i="8"/>
  <c r="AP34" i="8"/>
  <c r="AO34" i="8"/>
  <c r="AN34" i="8"/>
  <c r="AM34" i="8"/>
  <c r="AM33" i="8"/>
  <c r="AP32" i="8"/>
  <c r="AO32" i="8"/>
  <c r="AN32" i="8"/>
  <c r="AM32" i="8"/>
  <c r="AM31" i="8"/>
  <c r="AP30" i="8"/>
  <c r="AO30" i="8"/>
  <c r="AN30" i="8"/>
  <c r="AM30" i="8"/>
  <c r="AM29" i="8"/>
  <c r="AP28" i="8"/>
  <c r="AO28" i="8"/>
  <c r="AN28" i="8"/>
  <c r="AM28" i="8"/>
  <c r="AM27" i="8"/>
  <c r="AP26" i="8"/>
  <c r="AO26" i="8"/>
  <c r="AN26" i="8"/>
  <c r="AM26" i="8"/>
  <c r="AM25" i="8"/>
  <c r="AP24" i="8"/>
  <c r="AO24" i="8"/>
  <c r="AN24" i="8"/>
  <c r="AM24" i="8"/>
  <c r="B6" i="9" l="1"/>
  <c r="B34" i="9" s="1"/>
  <c r="B35" i="9" s="1"/>
  <c r="F38" i="2"/>
  <c r="O1" i="4"/>
  <c r="F37" i="2"/>
  <c r="AD10" i="5" s="1"/>
  <c r="F33" i="2"/>
  <c r="AP137" i="5" s="1"/>
  <c r="F32" i="2"/>
  <c r="F30" i="2"/>
  <c r="F29" i="2"/>
  <c r="F28" i="2"/>
  <c r="F27" i="2"/>
  <c r="F26" i="2"/>
  <c r="F25" i="2"/>
  <c r="F24" i="2"/>
  <c r="F23" i="2"/>
  <c r="F22" i="4" s="1"/>
  <c r="F22" i="2"/>
  <c r="F21" i="2"/>
  <c r="F20" i="2"/>
  <c r="F19" i="2"/>
  <c r="F18" i="2"/>
  <c r="F17" i="2"/>
  <c r="F16" i="2"/>
  <c r="F15" i="2"/>
  <c r="M22" i="2"/>
  <c r="M19" i="2"/>
  <c r="B7" i="2"/>
  <c r="B2" i="2"/>
  <c r="B6" i="2" s="1"/>
  <c r="O2" i="4" s="1"/>
  <c r="A2" i="4"/>
  <c r="T10" i="8"/>
  <c r="T9" i="8"/>
  <c r="AE10" i="8"/>
  <c r="AE7" i="8"/>
  <c r="E8" i="8"/>
  <c r="E7" i="8"/>
  <c r="F7" i="4" l="1"/>
  <c r="F32" i="4"/>
  <c r="F29" i="4"/>
  <c r="AX22" i="5"/>
  <c r="AX21" i="5"/>
  <c r="I153" i="5"/>
  <c r="F13" i="4"/>
  <c r="U149" i="5"/>
  <c r="O147" i="5"/>
  <c r="U151" i="5"/>
  <c r="B8" i="2"/>
  <c r="AT137" i="5"/>
  <c r="AM145" i="5"/>
  <c r="AL145" i="5"/>
  <c r="AM143" i="5"/>
  <c r="AL143" i="5"/>
  <c r="AM141" i="5"/>
  <c r="AL141" i="5"/>
  <c r="AM139" i="5"/>
  <c r="AL139" i="5"/>
  <c r="P73" i="6"/>
  <c r="M73" i="6"/>
  <c r="E73" i="6"/>
  <c r="L71" i="6"/>
  <c r="E71" i="6"/>
  <c r="H70" i="6"/>
  <c r="AO73" i="6"/>
  <c r="AN73" i="6"/>
  <c r="AM73" i="6"/>
  <c r="AN71" i="6"/>
  <c r="AM71" i="6"/>
  <c r="AM70" i="6"/>
  <c r="AP99" i="5"/>
  <c r="AO99" i="5"/>
  <c r="AN99" i="5"/>
  <c r="AM99" i="5"/>
  <c r="AL99" i="5"/>
  <c r="AP97" i="5"/>
  <c r="AO97" i="5"/>
  <c r="AL97" i="5"/>
  <c r="R22" i="2"/>
  <c r="Q22" i="2"/>
  <c r="P22" i="2"/>
  <c r="O22" i="2"/>
  <c r="N22" i="2"/>
  <c r="R19" i="2"/>
  <c r="Q19" i="2"/>
  <c r="P19" i="2"/>
  <c r="O19" i="2"/>
  <c r="N19" i="2"/>
  <c r="AV10" i="5"/>
  <c r="AV13" i="5" s="1"/>
  <c r="AV15" i="5" s="1"/>
  <c r="AV17" i="5" s="1"/>
  <c r="AV20" i="5" s="1"/>
  <c r="AV26" i="5" s="1"/>
  <c r="AV28" i="5" s="1"/>
  <c r="AV30" i="5" s="1"/>
  <c r="AV34" i="5" s="1"/>
  <c r="AV36" i="5" s="1"/>
  <c r="AV53" i="5" s="1"/>
  <c r="AV70" i="5" s="1"/>
  <c r="AV72" i="5" s="1"/>
  <c r="AV73" i="5" s="1"/>
  <c r="AP153" i="5"/>
  <c r="AO153" i="5"/>
  <c r="AN153" i="5"/>
  <c r="AR113" i="6" s="1"/>
  <c r="AM153" i="5"/>
  <c r="AL153" i="5"/>
  <c r="AF187" i="6"/>
  <c r="L187" i="5"/>
  <c r="AL187" i="5" s="1"/>
  <c r="F34" i="2" l="1"/>
  <c r="AS137" i="5" s="1"/>
  <c r="F31" i="2"/>
  <c r="AS135" i="5" s="1"/>
  <c r="F3" i="4"/>
  <c r="F35" i="2"/>
  <c r="F36" i="2" s="1"/>
  <c r="AM97" i="5"/>
  <c r="L196" i="5" s="1"/>
  <c r="AQ153" i="5"/>
  <c r="AS77" i="6"/>
  <c r="AS76" i="6"/>
  <c r="L195" i="6" l="1"/>
  <c r="AM195" i="6" s="1"/>
  <c r="AQ115" i="5"/>
  <c r="AQ114" i="5"/>
  <c r="J21" i="5"/>
  <c r="AL17" i="5" s="1"/>
  <c r="AM15" i="5"/>
  <c r="AM14" i="5"/>
  <c r="AL14" i="5"/>
  <c r="AQ132" i="5"/>
  <c r="AQ131" i="5"/>
  <c r="AQ130" i="5"/>
  <c r="AQ129" i="5"/>
  <c r="AQ128" i="5"/>
  <c r="AQ127" i="5"/>
  <c r="AO137" i="5"/>
  <c r="AP135" i="5"/>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8"/>
  <c r="AP171" i="6"/>
  <c r="AP169" i="6"/>
  <c r="AP167" i="6"/>
  <c r="AP165" i="6"/>
  <c r="AP163" i="6"/>
  <c r="AP161" i="6"/>
  <c r="AP159" i="6"/>
  <c r="AP157" i="6"/>
  <c r="AP155" i="6"/>
  <c r="AS132" i="5" l="1"/>
  <c r="AX23" i="5" s="1"/>
  <c r="AR132" i="5"/>
  <c r="AQ135" i="5"/>
  <c r="AQ137" i="5"/>
  <c r="L198" i="5"/>
  <c r="AL198" i="5" s="1"/>
  <c r="AM16" i="5"/>
  <c r="N16" i="5" s="1"/>
  <c r="W17" i="5"/>
  <c r="AP153" i="6"/>
  <c r="AQ112" i="6"/>
  <c r="AO135" i="5"/>
  <c r="AG200" i="6"/>
  <c r="B199" i="6"/>
  <c r="AO171" i="6"/>
  <c r="AN171" i="6"/>
  <c r="AM171" i="6"/>
  <c r="AO169" i="6"/>
  <c r="AN169" i="6"/>
  <c r="AM169" i="6"/>
  <c r="AO167" i="6"/>
  <c r="AN167" i="6"/>
  <c r="AM167" i="6"/>
  <c r="AO165" i="6"/>
  <c r="AN165" i="6"/>
  <c r="AM165" i="6"/>
  <c r="AO163" i="6"/>
  <c r="AN163" i="6"/>
  <c r="AM163" i="6"/>
  <c r="AO161" i="6"/>
  <c r="AN161" i="6"/>
  <c r="AM161" i="6"/>
  <c r="AO159" i="6"/>
  <c r="AN159" i="6"/>
  <c r="AM159" i="6"/>
  <c r="AO157" i="6"/>
  <c r="AN157" i="6"/>
  <c r="AM157" i="6"/>
  <c r="AO155" i="6"/>
  <c r="AN155" i="6"/>
  <c r="AM155" i="6"/>
  <c r="AX25" i="5" l="1"/>
  <c r="J18" i="2"/>
  <c r="J19" i="2"/>
  <c r="L211" i="6" s="1"/>
  <c r="AJ133" i="5"/>
  <c r="AA17" i="5"/>
  <c r="N17" i="5"/>
  <c r="I39" i="5"/>
  <c r="N20" i="5"/>
  <c r="AP15" i="5"/>
  <c r="I26" i="5"/>
  <c r="N21" i="5"/>
  <c r="AE14" i="5"/>
  <c r="AP14" i="5"/>
  <c r="N18" i="5"/>
  <c r="AE15" i="5"/>
  <c r="N19" i="5"/>
  <c r="AP114" i="6"/>
  <c r="AQ111" i="6"/>
  <c r="L210" i="6" s="1"/>
  <c r="AM153" i="6"/>
  <c r="L212" i="6" s="1"/>
  <c r="AM212" i="6" s="1"/>
  <c r="AM155" i="5"/>
  <c r="AP16" i="5" l="1"/>
  <c r="AM137" i="5"/>
  <c r="AN137" i="5" s="1"/>
  <c r="AL137" i="5"/>
  <c r="AL42" i="5"/>
  <c r="AL29" i="5"/>
  <c r="AM125" i="5"/>
  <c r="AL122" i="5"/>
  <c r="AL123" i="5"/>
  <c r="B110" i="8"/>
  <c r="B63" i="8"/>
  <c r="AE64" i="8"/>
  <c r="D64" i="8"/>
  <c r="R54" i="8"/>
  <c r="K54" i="8"/>
  <c r="Y55" i="8" s="1"/>
  <c r="AP20" i="8"/>
  <c r="AO20" i="8"/>
  <c r="AN20" i="8"/>
  <c r="AM20" i="8"/>
  <c r="AP18" i="8"/>
  <c r="AO18" i="8"/>
  <c r="AN18" i="8"/>
  <c r="AM18" i="8"/>
  <c r="AP16" i="8"/>
  <c r="AO16" i="8"/>
  <c r="AN16" i="8"/>
  <c r="AM16" i="8"/>
  <c r="AN14" i="8"/>
  <c r="AM14" i="8"/>
  <c r="AP12" i="8"/>
  <c r="AO12" i="8"/>
  <c r="AN12" i="8"/>
  <c r="AM12" i="8"/>
  <c r="AP11" i="8"/>
  <c r="AO11" i="8"/>
  <c r="AN11" i="8"/>
  <c r="AM11" i="8"/>
  <c r="BD1" i="8"/>
  <c r="AO14" i="8" l="1"/>
  <c r="K22" i="8" s="1"/>
  <c r="R55" i="8"/>
  <c r="AP122" i="5"/>
  <c r="AP120" i="5"/>
  <c r="AP119" i="5"/>
  <c r="AP118" i="5"/>
  <c r="AP123" i="5"/>
  <c r="AP121" i="5"/>
  <c r="AE17" i="5"/>
  <c r="W20" i="5"/>
  <c r="AR112" i="6"/>
  <c r="AP112" i="6"/>
  <c r="AQ11" i="8"/>
  <c r="U26" i="8" s="1"/>
  <c r="AM67" i="8"/>
  <c r="AM159" i="5"/>
  <c r="AL159" i="5"/>
  <c r="AM157" i="5"/>
  <c r="AL157" i="5"/>
  <c r="AL155" i="5"/>
  <c r="AM135" i="5"/>
  <c r="AN135" i="5" s="1"/>
  <c r="AL135" i="5"/>
  <c r="AL23" i="5"/>
  <c r="AS122" i="6"/>
  <c r="AS117" i="6"/>
  <c r="AQ123" i="5"/>
  <c r="AQ118" i="5"/>
  <c r="G122" i="6"/>
  <c r="G121" i="6"/>
  <c r="G120" i="6"/>
  <c r="G119" i="6"/>
  <c r="G118" i="6"/>
  <c r="G117" i="6"/>
  <c r="G115" i="6"/>
  <c r="G114" i="6"/>
  <c r="G113" i="6"/>
  <c r="G112" i="6"/>
  <c r="G111" i="6"/>
  <c r="G110" i="6"/>
  <c r="K123" i="5"/>
  <c r="K122" i="5"/>
  <c r="K121" i="5"/>
  <c r="K120" i="5"/>
  <c r="K119" i="5"/>
  <c r="K118" i="5"/>
  <c r="J47" i="5"/>
  <c r="J46" i="5"/>
  <c r="J45" i="5"/>
  <c r="J44" i="5"/>
  <c r="J43" i="5"/>
  <c r="J42" i="5"/>
  <c r="J34" i="5"/>
  <c r="J33" i="5"/>
  <c r="J32" i="5"/>
  <c r="J31" i="5"/>
  <c r="J30" i="5"/>
  <c r="J29" i="5"/>
  <c r="AW16" i="5"/>
  <c r="C122" i="6"/>
  <c r="C121" i="6"/>
  <c r="B208" i="5"/>
  <c r="B243" i="6"/>
  <c r="AQ120" i="5"/>
  <c r="AQ121" i="5"/>
  <c r="AQ122" i="5"/>
  <c r="AQ119" i="5"/>
  <c r="AO88" i="5"/>
  <c r="AO90" i="5"/>
  <c r="AP62" i="6"/>
  <c r="F23" i="8" l="1"/>
  <c r="N34" i="8"/>
  <c r="AB46" i="8"/>
  <c r="AB28" i="8"/>
  <c r="AB50" i="8"/>
  <c r="AB48" i="8"/>
  <c r="AB44" i="8"/>
  <c r="AB32" i="8"/>
  <c r="AB42" i="8"/>
  <c r="AB40" i="8"/>
  <c r="AB24" i="8"/>
  <c r="AB38" i="8"/>
  <c r="AB36" i="8"/>
  <c r="AB34" i="8"/>
  <c r="AB26" i="8"/>
  <c r="AB54" i="8"/>
  <c r="AB30" i="8"/>
  <c r="AB52" i="8"/>
  <c r="U28" i="8"/>
  <c r="N38" i="8"/>
  <c r="N46" i="8"/>
  <c r="U52" i="8"/>
  <c r="N42" i="8"/>
  <c r="U24" i="8"/>
  <c r="U42" i="8"/>
  <c r="N52" i="8"/>
  <c r="U38" i="8"/>
  <c r="N30" i="8"/>
  <c r="N36" i="8"/>
  <c r="U34" i="8"/>
  <c r="N48" i="8"/>
  <c r="U30" i="8"/>
  <c r="N50" i="8"/>
  <c r="U32" i="8"/>
  <c r="U40" i="8"/>
  <c r="N28" i="8"/>
  <c r="N40" i="8"/>
  <c r="N26" i="8"/>
  <c r="U36" i="8"/>
  <c r="AR119" i="6"/>
  <c r="AR117" i="6"/>
  <c r="AR118" i="6"/>
  <c r="AR120" i="6"/>
  <c r="AR121" i="6"/>
  <c r="AR122" i="6"/>
  <c r="AO119" i="5"/>
  <c r="AO122" i="5"/>
  <c r="AO121" i="5"/>
  <c r="AO123" i="5"/>
  <c r="AO118" i="5"/>
  <c r="AO120" i="5"/>
  <c r="AP117" i="5"/>
  <c r="L206" i="5" s="1"/>
  <c r="AL206" i="5" s="1"/>
  <c r="AR111" i="6"/>
  <c r="AP111" i="6"/>
  <c r="N44" i="8"/>
  <c r="N54" i="8"/>
  <c r="U46" i="8"/>
  <c r="U50" i="8"/>
  <c r="U54" i="8"/>
  <c r="U44" i="8"/>
  <c r="U48" i="8"/>
  <c r="N32" i="8"/>
  <c r="N24" i="8"/>
  <c r="AN159" i="5"/>
  <c r="AQ117" i="5"/>
  <c r="L204" i="5" s="1"/>
  <c r="AL204" i="5" s="1"/>
  <c r="F33" i="5"/>
  <c r="F47" i="5"/>
  <c r="G122" i="5"/>
  <c r="C114" i="6"/>
  <c r="G123" i="5"/>
  <c r="C115" i="6"/>
  <c r="F46" i="5"/>
  <c r="AS119" i="6"/>
  <c r="AS120" i="6"/>
  <c r="AS121" i="6"/>
  <c r="AS118" i="6"/>
  <c r="AO118" i="6"/>
  <c r="AO119" i="6"/>
  <c r="AO120" i="6"/>
  <c r="AO121" i="6"/>
  <c r="AO117" i="6"/>
  <c r="AO122" i="6"/>
  <c r="AQ121" i="6" l="1"/>
  <c r="AQ122" i="6"/>
  <c r="AQ117" i="6"/>
  <c r="AQ119" i="6"/>
  <c r="AQ118" i="6"/>
  <c r="AQ120" i="6"/>
  <c r="AR116" i="6"/>
  <c r="AP113" i="6"/>
  <c r="L192" i="6"/>
  <c r="L191" i="6"/>
  <c r="AP66" i="6"/>
  <c r="AP65" i="6"/>
  <c r="AN65" i="6"/>
  <c r="AO117" i="5" l="1"/>
  <c r="L205" i="5" s="1"/>
  <c r="AL205" i="5" s="1"/>
  <c r="AN123" i="5"/>
  <c r="AN119" i="5"/>
  <c r="AN120" i="5"/>
  <c r="AN121" i="5"/>
  <c r="AN122" i="5"/>
  <c r="AN118" i="5"/>
  <c r="AL119" i="5"/>
  <c r="AL120" i="5"/>
  <c r="AL121" i="5"/>
  <c r="AL118" i="5"/>
  <c r="AQ116" i="6" l="1"/>
  <c r="AL117" i="5"/>
  <c r="AO94" i="5"/>
  <c r="AM94" i="5"/>
  <c r="AM210" i="6" l="1"/>
  <c r="AM211" i="6"/>
  <c r="L194" i="5"/>
  <c r="L193" i="5"/>
  <c r="L192" i="5"/>
  <c r="L191" i="5"/>
  <c r="AL47" i="5"/>
  <c r="AL46" i="5"/>
  <c r="AL45" i="5"/>
  <c r="AL44" i="5"/>
  <c r="AL43" i="5"/>
  <c r="AL34" i="5"/>
  <c r="AL33" i="5"/>
  <c r="AL32" i="5"/>
  <c r="AL31" i="5"/>
  <c r="AL30" i="5"/>
  <c r="W21" i="5"/>
  <c r="J16" i="2"/>
  <c r="F30" i="5" l="1"/>
  <c r="C118" i="6"/>
  <c r="F43" i="5"/>
  <c r="C111" i="6"/>
  <c r="G119" i="5"/>
  <c r="C119" i="6"/>
  <c r="F44" i="5"/>
  <c r="F31" i="5"/>
  <c r="C112" i="6"/>
  <c r="G120" i="5"/>
  <c r="F32" i="5"/>
  <c r="F45" i="5"/>
  <c r="C120" i="6"/>
  <c r="C113" i="6"/>
  <c r="G121" i="5"/>
  <c r="F29" i="5"/>
  <c r="C117" i="6"/>
  <c r="F42" i="5"/>
  <c r="C110" i="6"/>
  <c r="G118" i="5"/>
  <c r="AQ109" i="6"/>
  <c r="J6" i="2"/>
  <c r="AM126" i="5"/>
  <c r="AM6" i="6"/>
  <c r="AL41" i="5"/>
  <c r="AL28" i="5"/>
  <c r="AM118" i="5" l="1"/>
  <c r="AM120" i="5"/>
  <c r="AM119" i="5"/>
  <c r="AM123" i="5"/>
  <c r="AM121" i="5"/>
  <c r="AM122" i="5"/>
  <c r="AP118" i="6"/>
  <c r="AP120" i="6"/>
  <c r="AP119" i="6"/>
  <c r="AP121" i="6"/>
  <c r="AP117" i="6"/>
  <c r="AP122" i="6"/>
  <c r="AM204" i="6"/>
  <c r="AM190" i="6"/>
  <c r="AL190" i="5"/>
  <c r="AL200" i="5"/>
  <c r="AO103" i="5" l="1"/>
  <c r="AN103" i="5"/>
  <c r="AE166" i="5"/>
  <c r="AE165" i="5"/>
  <c r="D165" i="5"/>
  <c r="AX30" i="6"/>
  <c r="G15" i="2"/>
  <c r="AM141" i="6"/>
  <c r="AS64" i="6"/>
  <c r="AN64" i="6"/>
  <c r="AP67" i="6"/>
  <c r="AN67" i="6"/>
  <c r="AA20" i="5" l="1"/>
  <c r="W19" i="5"/>
  <c r="AW14" i="5"/>
  <c r="D169" i="5"/>
  <c r="AA10" i="6"/>
  <c r="AV32" i="6"/>
  <c r="AM85" i="6"/>
  <c r="AM192" i="6"/>
  <c r="AM191" i="6"/>
  <c r="AL193" i="5"/>
  <c r="AL194" i="5"/>
  <c r="AL192" i="5"/>
  <c r="AL191" i="5"/>
  <c r="AL79" i="5"/>
  <c r="AL83" i="5"/>
  <c r="B149" i="6" l="1"/>
  <c r="B104" i="6"/>
  <c r="B58" i="6"/>
  <c r="B164" i="5"/>
  <c r="B112" i="5"/>
  <c r="B55" i="5"/>
  <c r="I64" i="6" l="1"/>
  <c r="F64" i="6"/>
  <c r="AM64" i="6"/>
  <c r="O53" i="6"/>
  <c r="O52" i="6"/>
  <c r="J53" i="6"/>
  <c r="J52" i="6"/>
  <c r="O49" i="6"/>
  <c r="O48" i="6"/>
  <c r="O47" i="6"/>
  <c r="F49" i="6"/>
  <c r="F48" i="6"/>
  <c r="F47" i="6"/>
  <c r="O44" i="6"/>
  <c r="O41" i="6"/>
  <c r="F44" i="6"/>
  <c r="F43" i="6"/>
  <c r="F42" i="6"/>
  <c r="F41" i="6"/>
  <c r="O43" i="6"/>
  <c r="Q39" i="6"/>
  <c r="N39" i="6"/>
  <c r="K37" i="6"/>
  <c r="O35" i="6"/>
  <c r="O34" i="6"/>
  <c r="F34" i="6"/>
  <c r="K32" i="6"/>
  <c r="N15" i="6"/>
  <c r="Q17" i="6"/>
  <c r="N17" i="6"/>
  <c r="N14" i="6"/>
  <c r="AM49" i="6"/>
  <c r="AM48" i="6"/>
  <c r="AM43" i="6"/>
  <c r="AM42" i="6"/>
  <c r="AM39" i="6"/>
  <c r="AM41" i="6"/>
  <c r="AM37" i="6"/>
  <c r="AM34" i="6"/>
  <c r="AM27" i="6"/>
  <c r="AM17" i="6"/>
  <c r="AM86" i="5"/>
  <c r="AL86" i="5"/>
  <c r="AM81" i="5"/>
  <c r="AL81" i="5"/>
  <c r="AL76" i="5"/>
  <c r="AL72" i="5"/>
  <c r="AM56" i="5" l="1"/>
  <c r="AM26" i="6"/>
  <c r="AN19" i="6"/>
  <c r="AM19" i="6"/>
  <c r="AM32" i="6"/>
  <c r="N30" i="6"/>
  <c r="I30" i="6"/>
  <c r="N29" i="6"/>
  <c r="I29" i="6"/>
  <c r="F27" i="6"/>
  <c r="K26" i="6"/>
  <c r="N23" i="6"/>
  <c r="N24" i="6"/>
  <c r="N22" i="6"/>
  <c r="I23" i="6"/>
  <c r="I24" i="6"/>
  <c r="I22" i="6"/>
  <c r="N19" i="6"/>
  <c r="I19" i="6"/>
  <c r="F19" i="6"/>
  <c r="AO92" i="5"/>
  <c r="AM76" i="5" l="1"/>
  <c r="AM72" i="5"/>
  <c r="AM65" i="5"/>
  <c r="AL65" i="5"/>
  <c r="AL61" i="5"/>
  <c r="AL59" i="5"/>
  <c r="P24" i="5" l="1"/>
  <c r="L24" i="5"/>
  <c r="BK1" i="6" l="1"/>
  <c r="AG150" i="6" l="1"/>
  <c r="AG105" i="6"/>
  <c r="AH115" i="6" l="1"/>
  <c r="AN115" i="6" s="1"/>
  <c r="AH114" i="6"/>
  <c r="AH113" i="6"/>
  <c r="AH112" i="6"/>
  <c r="AH111" i="6"/>
  <c r="AH110" i="6"/>
  <c r="AC115" i="6"/>
  <c r="AC114" i="6"/>
  <c r="AC113" i="6"/>
  <c r="AC112" i="6"/>
  <c r="AC111" i="6"/>
  <c r="AC110" i="6"/>
  <c r="AG59" i="6"/>
  <c r="X115" i="6"/>
  <c r="X114" i="6"/>
  <c r="X113" i="6"/>
  <c r="X112" i="6"/>
  <c r="X111" i="6"/>
  <c r="X110" i="6"/>
  <c r="S115" i="6"/>
  <c r="S114" i="6"/>
  <c r="S113" i="6"/>
  <c r="S112" i="6"/>
  <c r="S111" i="6"/>
  <c r="S110" i="6"/>
  <c r="N115" i="6"/>
  <c r="AN122" i="6" s="1"/>
  <c r="N114" i="6"/>
  <c r="AN121" i="6" s="1"/>
  <c r="N113" i="6"/>
  <c r="AN120" i="6" s="1"/>
  <c r="N112" i="6"/>
  <c r="AN119" i="6" s="1"/>
  <c r="N111" i="6"/>
  <c r="AN118" i="6" s="1"/>
  <c r="N110" i="6"/>
  <c r="AN117" i="6" s="1"/>
  <c r="M93" i="6"/>
  <c r="M94" i="6"/>
  <c r="M95" i="6"/>
  <c r="M96" i="6"/>
  <c r="M97" i="6"/>
  <c r="M98" i="6"/>
  <c r="G93" i="6"/>
  <c r="G94" i="6"/>
  <c r="G95" i="6"/>
  <c r="G96" i="6"/>
  <c r="G97" i="6"/>
  <c r="G98" i="6"/>
  <c r="B93" i="6"/>
  <c r="B94" i="6"/>
  <c r="B95" i="6"/>
  <c r="B96" i="6"/>
  <c r="B97" i="6"/>
  <c r="B98" i="6"/>
  <c r="M92" i="6"/>
  <c r="G92" i="6"/>
  <c r="B92" i="6"/>
  <c r="M86" i="6"/>
  <c r="M87" i="6"/>
  <c r="M88" i="6"/>
  <c r="M89" i="6"/>
  <c r="M90" i="6"/>
  <c r="M91" i="6"/>
  <c r="M85" i="6"/>
  <c r="G91" i="6"/>
  <c r="G90" i="6"/>
  <c r="G89" i="6"/>
  <c r="G88" i="6"/>
  <c r="G87" i="6"/>
  <c r="G86" i="6"/>
  <c r="G85" i="6"/>
  <c r="B91" i="6"/>
  <c r="B90" i="6"/>
  <c r="B89" i="6"/>
  <c r="B88" i="6"/>
  <c r="B87" i="6"/>
  <c r="B86" i="6"/>
  <c r="B85" i="6"/>
  <c r="AO114" i="6" l="1"/>
  <c r="AN114" i="6"/>
  <c r="AO113" i="6"/>
  <c r="AN113" i="6"/>
  <c r="AO112" i="6"/>
  <c r="AN112" i="6"/>
  <c r="AO111" i="6"/>
  <c r="AN111" i="6"/>
  <c r="AO110" i="6"/>
  <c r="AN110" i="6"/>
  <c r="AO115" i="6"/>
  <c r="AM140" i="6"/>
  <c r="AP98" i="6"/>
  <c r="AP97" i="6"/>
  <c r="AP96" i="6"/>
  <c r="AP95" i="6"/>
  <c r="AP94" i="6"/>
  <c r="AP93" i="6"/>
  <c r="AP92" i="6"/>
  <c r="AP91" i="6"/>
  <c r="AP90" i="6"/>
  <c r="AP89" i="6"/>
  <c r="AP88" i="6"/>
  <c r="AP87" i="6"/>
  <c r="AP86" i="6"/>
  <c r="AP85" i="6"/>
  <c r="AN85" i="6"/>
  <c r="AN77" i="6"/>
  <c r="I77" i="6"/>
  <c r="AN76" i="6"/>
  <c r="I76" i="6"/>
  <c r="O67" i="6"/>
  <c r="E67" i="6"/>
  <c r="O66" i="6"/>
  <c r="E66" i="6"/>
  <c r="AN66" i="6"/>
  <c r="AP64" i="6" s="1"/>
  <c r="L193" i="6" s="1"/>
  <c r="O65" i="6"/>
  <c r="E65" i="6"/>
  <c r="AF8" i="6"/>
  <c r="AG201" i="6" s="1"/>
  <c r="E8" i="6"/>
  <c r="E7" i="6"/>
  <c r="D200" i="6" s="1"/>
  <c r="AP76" i="6" l="1"/>
  <c r="L194" i="6" s="1"/>
  <c r="AG151" i="6"/>
  <c r="D59" i="6"/>
  <c r="D150" i="6"/>
  <c r="AG106" i="6"/>
  <c r="AO116" i="6"/>
  <c r="AS116" i="6"/>
  <c r="L209" i="6" s="1"/>
  <c r="AM193" i="6"/>
  <c r="AP116" i="6"/>
  <c r="AG60" i="6"/>
  <c r="D105" i="6"/>
  <c r="AM209" i="6" l="1"/>
  <c r="L208" i="6"/>
  <c r="AM208" i="6" s="1"/>
  <c r="L207" i="6"/>
  <c r="AM207" i="6" s="1"/>
  <c r="AN116" i="6"/>
  <c r="F34" i="5"/>
  <c r="L206" i="6" l="1"/>
  <c r="AM206" i="6" s="1"/>
  <c r="AO115" i="5"/>
  <c r="AM115" i="5"/>
  <c r="AQ95" i="5"/>
  <c r="AQ94" i="5"/>
  <c r="AO95" i="5"/>
  <c r="AM47" i="5"/>
  <c r="AM46" i="5"/>
  <c r="AM45" i="5"/>
  <c r="AM44" i="5"/>
  <c r="AM43" i="5"/>
  <c r="AM42" i="5"/>
  <c r="AM30" i="5"/>
  <c r="AM31" i="5"/>
  <c r="AM32" i="5"/>
  <c r="AM33" i="5"/>
  <c r="AM34" i="5"/>
  <c r="AM29" i="5"/>
  <c r="AM95" i="5"/>
  <c r="AM92" i="5" l="1"/>
  <c r="L195" i="5" s="1"/>
  <c r="AL195" i="5" s="1"/>
  <c r="AM114" i="5"/>
  <c r="I110" i="6"/>
  <c r="AL92" i="5"/>
  <c r="AB37" i="5"/>
  <c r="X37" i="5"/>
  <c r="T37" i="5"/>
  <c r="P37" i="5"/>
  <c r="L37" i="5"/>
  <c r="AB24" i="5"/>
  <c r="X24" i="5"/>
  <c r="T24" i="5"/>
  <c r="AL104" i="5"/>
  <c r="AM104" i="5"/>
  <c r="AL105" i="5"/>
  <c r="AM105" i="5"/>
  <c r="AL106" i="5"/>
  <c r="AM106" i="5"/>
  <c r="AL107" i="5"/>
  <c r="AM107" i="5"/>
  <c r="AL108" i="5"/>
  <c r="AM108" i="5"/>
  <c r="AL109" i="5"/>
  <c r="AM109" i="5"/>
  <c r="AM103" i="5"/>
  <c r="AL103" i="5"/>
  <c r="AE114" i="5"/>
  <c r="AE113" i="5"/>
  <c r="D113" i="5"/>
  <c r="AE57" i="5"/>
  <c r="AE56" i="5"/>
  <c r="D56" i="5"/>
  <c r="J80" i="6"/>
  <c r="BM1" i="5"/>
  <c r="AM117" i="6" l="1"/>
  <c r="AM110" i="6"/>
  <c r="AN80" i="6"/>
  <c r="AN82" i="6"/>
  <c r="L196" i="6" s="1"/>
  <c r="L197" i="5"/>
  <c r="AL197" i="5" s="1"/>
  <c r="I115" i="6"/>
  <c r="I114" i="6"/>
  <c r="I113" i="6"/>
  <c r="I112" i="6"/>
  <c r="I111" i="6"/>
  <c r="AM28" i="5"/>
  <c r="L188" i="5" s="1"/>
  <c r="AM117" i="5"/>
  <c r="L202" i="5" s="1"/>
  <c r="AM41" i="5"/>
  <c r="L189" i="5" s="1"/>
  <c r="L201" i="5"/>
  <c r="AM119" i="6" l="1"/>
  <c r="AM112" i="6"/>
  <c r="AM121" i="6"/>
  <c r="AM114" i="6"/>
  <c r="AM118" i="6"/>
  <c r="AM111" i="6"/>
  <c r="AM120" i="6"/>
  <c r="AM113" i="6"/>
  <c r="AM122" i="6"/>
  <c r="AM115" i="6"/>
  <c r="AM196" i="6"/>
  <c r="AL189" i="5"/>
  <c r="AL188" i="5"/>
  <c r="AL201" i="5"/>
  <c r="AL202" i="5"/>
  <c r="H110" i="5"/>
  <c r="AM110" i="5" l="1"/>
  <c r="AM111" i="5"/>
  <c r="L199" i="5" s="1"/>
  <c r="AL199" i="5" s="1"/>
  <c r="AN117" i="5"/>
  <c r="L203" i="5" s="1"/>
  <c r="AL203" i="5" s="1"/>
  <c r="AL186" i="5" l="1"/>
  <c r="AM116" i="6"/>
  <c r="AM194" i="6"/>
  <c r="L205" i="6" l="1"/>
  <c r="AM205" i="6" s="1"/>
  <c r="AM188"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3B287515-92BC-408D-8E97-4BEC19640ABE}">
      <text>
        <r>
          <rPr>
            <b/>
            <sz val="9"/>
            <color indexed="81"/>
            <rFont val="Tahoma"/>
            <family val="2"/>
          </rPr>
          <t>Note:</t>
        </r>
        <r>
          <rPr>
            <sz val="9"/>
            <color indexed="81"/>
            <rFont val="Tahoma"/>
            <family val="2"/>
          </rPr>
          <t xml:space="preserve">
Enter street address of proposed development</t>
        </r>
      </text>
    </comment>
    <comment ref="AE8" authorId="0" shapeId="0" xr:uid="{67630AD7-BFFE-4FD8-838A-A9581D30D04C}">
      <text>
        <r>
          <rPr>
            <b/>
            <sz val="9"/>
            <color indexed="81"/>
            <rFont val="Tahoma"/>
            <family val="2"/>
          </rPr>
          <t>Note:</t>
        </r>
        <r>
          <rPr>
            <sz val="9"/>
            <color indexed="81"/>
            <rFont val="Tahoma"/>
            <family val="2"/>
          </rPr>
          <t xml:space="preserve">
Provide a unique BMP ID
Examples:
   Pond 1
   Pond A
   1
   A</t>
        </r>
      </text>
    </comment>
    <comment ref="AA15" authorId="0" shapeId="0" xr:uid="{0B639A35-4281-455D-977F-2AFF1A6BCC93}">
      <text>
        <r>
          <rPr>
            <b/>
            <sz val="9"/>
            <color indexed="81"/>
            <rFont val="Tahoma"/>
            <family val="2"/>
          </rPr>
          <t>Note:</t>
        </r>
        <r>
          <rPr>
            <sz val="9"/>
            <color indexed="81"/>
            <rFont val="Tahoma"/>
            <family val="2"/>
          </rPr>
          <t xml:space="preserve">
If there is no EIA, enter 0</t>
        </r>
      </text>
    </comment>
    <comment ref="L25" authorId="0" shapeId="0" xr:uid="{9286438A-A5CF-4AD2-95AB-70338108127D}">
      <text>
        <r>
          <rPr>
            <b/>
            <sz val="9"/>
            <color indexed="81"/>
            <rFont val="Tahoma"/>
            <family val="2"/>
          </rPr>
          <t>Note:</t>
        </r>
        <r>
          <rPr>
            <sz val="9"/>
            <color indexed="81"/>
            <rFont val="Tahoma"/>
            <family val="2"/>
          </rPr>
          <t xml:space="preserve">
Enter a unique Basin ID for each subbasin</t>
        </r>
      </text>
    </comment>
    <comment ref="L38" authorId="0" shapeId="0" xr:uid="{D824465B-891A-46CF-A544-FF165EC279FD}">
      <text>
        <r>
          <rPr>
            <b/>
            <sz val="9"/>
            <color indexed="81"/>
            <rFont val="Tahoma"/>
            <family val="2"/>
          </rPr>
          <t>Note:</t>
        </r>
        <r>
          <rPr>
            <sz val="9"/>
            <color indexed="81"/>
            <rFont val="Tahoma"/>
            <family val="2"/>
          </rPr>
          <t xml:space="preserve">
Enter a unique Basin ID for each subbasin</t>
        </r>
      </text>
    </comment>
    <comment ref="O115" authorId="0" shapeId="0" xr:uid="{521CB1EE-FE96-4028-8E94-5361BEA69DDD}">
      <text>
        <r>
          <rPr>
            <b/>
            <sz val="9"/>
            <color indexed="81"/>
            <rFont val="Tahoma"/>
            <family val="2"/>
          </rPr>
          <t>Note:</t>
        </r>
        <r>
          <rPr>
            <sz val="9"/>
            <color indexed="81"/>
            <rFont val="Tahoma"/>
            <family val="2"/>
          </rPr>
          <t xml:space="preserve">
Enter number in decimal format.  Example: 00.000000</t>
        </r>
      </text>
    </comment>
    <comment ref="W115" authorId="0" shapeId="0" xr:uid="{AC34BECD-83DA-4A12-AA5C-7081C479F107}">
      <text>
        <r>
          <rPr>
            <b/>
            <sz val="9"/>
            <color indexed="81"/>
            <rFont val="Tahoma"/>
            <family val="2"/>
          </rPr>
          <t>Note:</t>
        </r>
        <r>
          <rPr>
            <sz val="9"/>
            <color indexed="81"/>
            <rFont val="Tahoma"/>
            <family val="2"/>
          </rPr>
          <t xml:space="preserve">
Enter number in decimal format.  Example: 00.000000</t>
        </r>
      </text>
    </comment>
    <comment ref="F178" authorId="0" shapeId="0" xr:uid="{891B0DB3-522B-4632-957D-4BE185001631}">
      <text>
        <r>
          <rPr>
            <b/>
            <sz val="9"/>
            <color indexed="81"/>
            <rFont val="Tahoma"/>
            <family val="2"/>
          </rPr>
          <t>Note:</t>
        </r>
        <r>
          <rPr>
            <sz val="9"/>
            <color indexed="81"/>
            <rFont val="Tahoma"/>
            <family val="2"/>
          </rPr>
          <t xml:space="preserve">
Enter street addres of proposed development</t>
        </r>
      </text>
    </comment>
    <comment ref="AD183" authorId="0" shapeId="0" xr:uid="{8A5A44CD-BF14-430C-A795-D927779D980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FA34AD01-D99C-43DE-853A-2397B9F12B34}">
      <text>
        <r>
          <rPr>
            <b/>
            <sz val="9"/>
            <color indexed="81"/>
            <rFont val="Tahoma"/>
            <family val="2"/>
          </rPr>
          <t>Note:</t>
        </r>
        <r>
          <rPr>
            <sz val="9"/>
            <color indexed="81"/>
            <rFont val="Tahoma"/>
            <family val="2"/>
          </rPr>
          <t xml:space="preserve">
Enter street address of proposed development</t>
        </r>
      </text>
    </comment>
    <comment ref="T9" authorId="0" shapeId="0" xr:uid="{5CE521E2-3D70-4274-B7CC-6CD76C9E8FF9}">
      <text>
        <r>
          <rPr>
            <b/>
            <sz val="9"/>
            <color indexed="81"/>
            <rFont val="Tahoma"/>
            <family val="2"/>
          </rPr>
          <t>Note:</t>
        </r>
        <r>
          <rPr>
            <sz val="9"/>
            <color indexed="81"/>
            <rFont val="Tahoma"/>
            <family val="2"/>
          </rPr>
          <t xml:space="preserve">
Enter number in decimal format.  Example: 00.000000</t>
        </r>
      </text>
    </comment>
    <comment ref="T10" authorId="0" shapeId="0" xr:uid="{840522BC-FE8D-434C-9371-BEA4C56B600E}">
      <text>
        <r>
          <rPr>
            <b/>
            <sz val="9"/>
            <color indexed="81"/>
            <rFont val="Tahoma"/>
            <family val="2"/>
          </rPr>
          <t>Note:</t>
        </r>
        <r>
          <rPr>
            <sz val="9"/>
            <color indexed="81"/>
            <rFont val="Tahoma"/>
            <family val="2"/>
          </rPr>
          <t xml:space="preserve">
Enter number in decimal format.  Example: -00.000000</t>
        </r>
      </text>
    </comment>
    <comment ref="E85" authorId="0" shapeId="0" xr:uid="{06990E49-1566-4578-8A79-EDF2B8E3B998}">
      <text>
        <r>
          <rPr>
            <b/>
            <sz val="9"/>
            <color indexed="81"/>
            <rFont val="Tahoma"/>
            <family val="2"/>
          </rPr>
          <t>Note:</t>
        </r>
        <r>
          <rPr>
            <sz val="9"/>
            <color indexed="81"/>
            <rFont val="Tahoma"/>
            <family val="2"/>
          </rPr>
          <t xml:space="preserve">
Enter street address of proposed development</t>
        </r>
      </text>
    </comment>
    <comment ref="AC90" authorId="0" shapeId="0" xr:uid="{D09EBA1F-3E52-40C4-A7BA-224A885AC4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76" authorId="0" shapeId="0" xr:uid="{0A8A7216-34DD-4466-836A-0885FB0DF71B}">
      <text>
        <r>
          <rPr>
            <b/>
            <sz val="9"/>
            <color indexed="81"/>
            <rFont val="Tahoma"/>
            <family val="2"/>
          </rPr>
          <t>Note:</t>
        </r>
        <r>
          <rPr>
            <sz val="9"/>
            <color indexed="81"/>
            <rFont val="Tahoma"/>
            <family val="2"/>
          </rPr>
          <t xml:space="preserve">
Enter number in decimal format.
Example: 00.000000</t>
        </r>
      </text>
    </comment>
    <comment ref="AD77" authorId="0" shapeId="0" xr:uid="{FC766ED8-AFFD-46E1-B86E-C24BCC163475}">
      <text>
        <r>
          <rPr>
            <b/>
            <sz val="9"/>
            <color indexed="81"/>
            <rFont val="Tahoma"/>
            <family val="2"/>
          </rPr>
          <t>Note:</t>
        </r>
        <r>
          <rPr>
            <sz val="9"/>
            <color indexed="81"/>
            <rFont val="Tahoma"/>
            <family val="2"/>
          </rPr>
          <t xml:space="preserve">
Enter number in decimal format.
Example: 00.000000</t>
        </r>
      </text>
    </comment>
    <comment ref="E180" authorId="0" shapeId="0" xr:uid="{FDF7813E-5190-4172-B55D-42AD9CD86139}">
      <text>
        <r>
          <rPr>
            <b/>
            <sz val="9"/>
            <color indexed="81"/>
            <rFont val="Tahoma"/>
            <family val="2"/>
          </rPr>
          <t>Note:</t>
        </r>
        <r>
          <rPr>
            <sz val="9"/>
            <color indexed="81"/>
            <rFont val="Tahoma"/>
            <family val="2"/>
          </rPr>
          <t xml:space="preserve">
Enter street addres of proposed development</t>
        </r>
      </text>
    </comment>
    <comment ref="AC185" authorId="0" shapeId="0" xr:uid="{F28ABC87-7DD1-45F8-A735-1EF6FFD9430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<sst xmlns="http://schemas.openxmlformats.org/spreadsheetml/2006/main" count="1314" uniqueCount="588">
  <si>
    <t>Development Information</t>
  </si>
  <si>
    <t>Name:</t>
  </si>
  <si>
    <t>Proposed Impervious Area (PIA)</t>
  </si>
  <si>
    <t>Pre-Development</t>
  </si>
  <si>
    <t>Curve Number:</t>
  </si>
  <si>
    <t>(WQ)</t>
  </si>
  <si>
    <t>(2-yr)</t>
  </si>
  <si>
    <t>(5-yr)</t>
  </si>
  <si>
    <t>(10-yr)</t>
  </si>
  <si>
    <t>(25-yr)</t>
  </si>
  <si>
    <t>(100-yr)</t>
  </si>
  <si>
    <t>Post-Development</t>
  </si>
  <si>
    <t>Post Total</t>
  </si>
  <si>
    <t>Pre Total</t>
  </si>
  <si>
    <t>Emergency Spillway</t>
  </si>
  <si>
    <t>Outfall Location</t>
  </si>
  <si>
    <t>Pond Stage-Area-Storage Summary</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</si>
  <si>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</si>
  <si>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</si>
  <si>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</si>
  <si>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</si>
  <si>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</si>
  <si>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</si>
  <si>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</si>
  <si>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</si>
  <si>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</si>
  <si>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</si>
  <si>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</si>
  <si>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</si>
  <si>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</si>
  <si>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</si>
  <si>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</si>
  <si>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</si>
  <si>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</si>
  <si>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</si>
  <si>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t>acres</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</si>
  <si>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</si>
  <si>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</si>
  <si>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</si>
  <si>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</si>
  <si>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</si>
  <si>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</si>
  <si>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</si>
  <si>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</si>
  <si>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</si>
  <si>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</si>
  <si>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</si>
  <si>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</si>
  <si>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</si>
  <si>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</si>
  <si>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</si>
  <si>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</si>
  <si>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</si>
  <si>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</si>
  <si>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</si>
  <si>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</si>
  <si>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</si>
  <si>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</si>
  <si>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</si>
  <si>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</si>
  <si>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</si>
  <si>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</si>
  <si>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</si>
  <si>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</si>
  <si>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</si>
  <si>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</si>
  <si>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</si>
  <si>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</si>
  <si>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</si>
  <si>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</si>
  <si>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</si>
  <si>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</si>
  <si>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</si>
  <si>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</si>
  <si>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</si>
  <si>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</si>
  <si>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</si>
  <si>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</si>
  <si>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</si>
  <si>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</si>
  <si>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</si>
  <si>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</si>
  <si>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</si>
  <si>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</si>
  <si>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</si>
  <si>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</si>
  <si>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</si>
  <si>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</si>
  <si>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</si>
  <si>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</si>
  <si>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Total Post Q:</t>
  </si>
  <si>
    <t>The developer / owner shall retain the services of a professional land surveyor to:</t>
  </si>
  <si>
    <t>Develop an as-built drawing.</t>
  </si>
  <si>
    <t>a.</t>
  </si>
  <si>
    <t>b.</t>
  </si>
  <si>
    <t>The developer shall retain the services of a professional engineer to:</t>
  </si>
  <si>
    <t>H&amp;H Calculations</t>
  </si>
  <si>
    <t>Photographs</t>
  </si>
  <si>
    <t>Storm sewers showing pipes, inlets, junction boxes, outlets, outlet protection, and invert elevations</t>
  </si>
  <si>
    <t>Detail of emergency spillway showing elevations and dimensions</t>
  </si>
  <si>
    <t>Prior to approval of the Final Plat.</t>
  </si>
  <si>
    <t>Provide ALL required attachments:</t>
  </si>
  <si>
    <t>As-Built Survey Drawing(s)</t>
  </si>
  <si>
    <t>The issuance of a Certificate of Occupancy; and/or,</t>
  </si>
  <si>
    <t>e.</t>
  </si>
  <si>
    <t>c.</t>
  </si>
  <si>
    <t>d.</t>
  </si>
  <si>
    <t>f.</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</si>
  <si>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</si>
  <si>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</si>
  <si>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</si>
  <si>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</si>
  <si>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</si>
  <si>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</si>
  <si>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</si>
  <si>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</si>
  <si>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</si>
  <si>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</si>
  <si>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</si>
  <si>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</si>
  <si>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</si>
  <si>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</si>
  <si>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</si>
  <si>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</si>
  <si>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</si>
  <si>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</si>
  <si>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</si>
  <si>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</si>
  <si>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</si>
  <si>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</si>
  <si>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</si>
  <si>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</si>
  <si>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</si>
  <si>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</si>
  <si>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</si>
  <si>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</si>
  <si>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</si>
  <si>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</si>
  <si>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</si>
  <si>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</si>
  <si>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</si>
  <si>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</si>
  <si>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</si>
  <si>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</si>
  <si>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</si>
  <si>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</si>
  <si>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</si>
  <si>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</si>
  <si>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Montgomery</t>
  </si>
  <si>
    <t>Hoover</t>
  </si>
  <si>
    <t>Prattville</t>
  </si>
  <si>
    <t>Mobile</t>
  </si>
  <si>
    <t xml:space="preserve">Select City: </t>
  </si>
  <si>
    <t xml:space="preserve">Trash Rack: </t>
  </si>
  <si>
    <t>Yes</t>
  </si>
  <si>
    <t xml:space="preserve">Width: </t>
  </si>
  <si>
    <t xml:space="preserve">Diameter: </t>
  </si>
  <si>
    <t xml:space="preserve">Material: </t>
  </si>
  <si>
    <t xml:space="preserve">Shape: </t>
  </si>
  <si>
    <t xml:space="preserve">Length: </t>
  </si>
  <si>
    <t>Round</t>
  </si>
  <si>
    <t>Rectangle</t>
  </si>
  <si>
    <t>Trapezoid</t>
  </si>
  <si>
    <t>Square</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</si>
  <si>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</si>
  <si>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</si>
  <si>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</si>
  <si>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</si>
  <si>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</si>
  <si>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</si>
  <si>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</si>
  <si>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</si>
  <si>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</si>
  <si>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</si>
  <si>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</si>
  <si>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</si>
  <si>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</si>
  <si>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</si>
  <si>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</si>
  <si>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</si>
  <si>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</si>
  <si>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</si>
  <si>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</si>
  <si>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Soils Data</t>
  </si>
  <si>
    <t xml:space="preserve"> Maintenance Plan</t>
  </si>
  <si>
    <t xml:space="preserve">Hydrologic Soil Group: </t>
  </si>
  <si>
    <t xml:space="preserve"> A</t>
  </si>
  <si>
    <t xml:space="preserve"> B</t>
  </si>
  <si>
    <t xml:space="preserve"> C</t>
  </si>
  <si>
    <t xml:space="preserve"> D</t>
  </si>
  <si>
    <t xml:space="preserve">Water Table Depth: </t>
  </si>
  <si>
    <t xml:space="preserve">Saturated Hydraulic Conductivity: </t>
  </si>
  <si>
    <t>in/hr</t>
  </si>
  <si>
    <t xml:space="preserve">Type: </t>
  </si>
  <si>
    <t xml:space="preserve">Pretreatment: </t>
  </si>
  <si>
    <t>Depth</t>
  </si>
  <si>
    <t>Bottom EL</t>
  </si>
  <si>
    <t>Top EL</t>
  </si>
  <si>
    <t>ea</t>
  </si>
  <si>
    <t>Diameter</t>
  </si>
  <si>
    <t xml:space="preserve"> Underdrain Pipe(s)</t>
  </si>
  <si>
    <t xml:space="preserve">Outlet Pipe Inv. EL: </t>
  </si>
  <si>
    <t xml:space="preserve">Perforated Pipe Inv. EL: </t>
  </si>
  <si>
    <t xml:space="preserve"> System Cross Section</t>
  </si>
  <si>
    <t xml:space="preserve"> No Underdrain System</t>
  </si>
  <si>
    <t>Discharge Summary</t>
  </si>
  <si>
    <t>ES Tot</t>
  </si>
  <si>
    <t xml:space="preserve">Inv. EL: </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</si>
  <si>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</si>
  <si>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</si>
  <si>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</si>
  <si>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</si>
  <si>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</si>
  <si>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</si>
  <si>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Form 3D - Bioretention Area
As-Built Certification Form</t>
  </si>
  <si>
    <t>Form 2D - Bioretention Area
Design Form</t>
  </si>
  <si>
    <t xml:space="preserve"> Vegetation Plan</t>
  </si>
  <si>
    <t>Bioretention Area</t>
  </si>
  <si>
    <t xml:space="preserve">Drainage Area: </t>
  </si>
  <si>
    <t xml:space="preserve">Land Slope: </t>
  </si>
  <si>
    <t>%</t>
  </si>
  <si>
    <t>Cleanout Pipe(s)</t>
  </si>
  <si>
    <t xml:space="preserve">Mulch: </t>
  </si>
  <si>
    <t xml:space="preserve">Bioretention Media: </t>
  </si>
  <si>
    <t xml:space="preserve">Stone: </t>
  </si>
  <si>
    <t>Overflow Structure</t>
  </si>
  <si>
    <t>Outlet Pipe</t>
  </si>
  <si>
    <t>Internal Water Storage</t>
  </si>
  <si>
    <t xml:space="preserve">Depth: </t>
  </si>
  <si>
    <t xml:space="preserve">Drain Time: </t>
  </si>
  <si>
    <t>hrs</t>
  </si>
  <si>
    <t>Ponded Water</t>
  </si>
  <si>
    <t xml:space="preserve">No. Pipes: </t>
  </si>
  <si>
    <t xml:space="preserve"> No Cleanout Pipe(s)</t>
  </si>
  <si>
    <t xml:space="preserve">Surface Area: </t>
  </si>
  <si>
    <r>
      <t>ft</t>
    </r>
    <r>
      <rPr>
        <vertAlign val="superscript"/>
        <sz val="10"/>
        <color theme="1"/>
        <rFont val="Calibri"/>
        <family val="2"/>
        <scheme val="minor"/>
      </rPr>
      <t>2</t>
    </r>
  </si>
  <si>
    <t>Stage-Area-Storage Summary</t>
  </si>
  <si>
    <t>The maximum recommended drainage area is 5.0 acres, but 0.5 to 2.0 acres is preferred;</t>
  </si>
  <si>
    <t>Seasonally high-water table shall be greater than 6-feet below the surface;</t>
  </si>
  <si>
    <t>Bio retention areas shall be located in areas where the slope is 5% or less;</t>
  </si>
  <si>
    <t>Preferred in-situ soils shall be hydrologic soil group A or B;</t>
  </si>
  <si>
    <t>g.</t>
  </si>
  <si>
    <t>If internal water storage is provided, internal water storage shall drain within 4 days;</t>
  </si>
  <si>
    <t>h.</t>
  </si>
  <si>
    <t>i.</t>
  </si>
  <si>
    <t>The maintenance plan shall address the following:</t>
  </si>
  <si>
    <t>Mulching</t>
  </si>
  <si>
    <t>Re-planting</t>
  </si>
  <si>
    <t>Weeding</t>
  </si>
  <si>
    <t>Routine inspections</t>
  </si>
  <si>
    <t>Storm event inspections</t>
  </si>
  <si>
    <t>Fertilization</t>
  </si>
  <si>
    <t>Unclogging underdrain pipes</t>
  </si>
  <si>
    <t>Pruning</t>
  </si>
  <si>
    <t>Sediment removal</t>
  </si>
  <si>
    <t>Trash removal</t>
  </si>
  <si>
    <t>Mulch removal from outlets</t>
  </si>
  <si>
    <t>j.</t>
  </si>
  <si>
    <t>k.</t>
  </si>
  <si>
    <t xml:space="preserve"> Field Test Performed: </t>
  </si>
  <si>
    <t xml:space="preserve">Bottom EL: </t>
  </si>
  <si>
    <t xml:space="preserve">Top EL: </t>
  </si>
  <si>
    <t>Drain Time</t>
  </si>
  <si>
    <t xml:space="preserve">Int. Water Storage: </t>
  </si>
  <si>
    <t xml:space="preserve">Ponded Water: </t>
  </si>
  <si>
    <t xml:space="preserve"> No Outflow Structure</t>
  </si>
  <si>
    <t xml:space="preserve"> No Overflow Structure</t>
  </si>
  <si>
    <t>Perform a field survey of the constructed bioretention area; and,</t>
  </si>
  <si>
    <t>Revision Date:</t>
  </si>
  <si>
    <t>Page 1 of 4</t>
  </si>
  <si>
    <t>Page 4 of 4</t>
  </si>
  <si>
    <t>Page 3 of 4</t>
  </si>
  <si>
    <t>Page 2 of 4</t>
  </si>
  <si>
    <t>Bioretention Area:</t>
  </si>
  <si>
    <t xml:space="preserve">Discharge Summary: </t>
  </si>
  <si>
    <t>Land slope exceeds the recommended 5% maximum</t>
  </si>
  <si>
    <t>Drain time exceeds the recommended 12 hours</t>
  </si>
  <si>
    <t>Drainage Area:</t>
  </si>
  <si>
    <t>Land Slope:</t>
  </si>
  <si>
    <t>Internal Water Storage:</t>
  </si>
  <si>
    <t>Ponded Water:</t>
  </si>
  <si>
    <t>Drainage area exceeds the recommended 5.0 acre maximum</t>
  </si>
  <si>
    <t>Bioretention Area In Q:</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</si>
  <si>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</si>
  <si>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</si>
  <si>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</si>
  <si>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</si>
  <si>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</si>
  <si>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</si>
  <si>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</si>
  <si>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</si>
  <si>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</si>
  <si>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</si>
  <si>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</si>
  <si>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</si>
  <si>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</si>
  <si>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</si>
  <si>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Velocity</t>
  </si>
  <si>
    <t>Provides the required water quality volume (WQv);</t>
  </si>
  <si>
    <t xml:space="preserve">Post-development runoff mimics pre-development hydrology to the maximum extent practicable (MEP). </t>
  </si>
  <si>
    <t>By affixing my professional seal and signature on this form, I hereby certify that the bioretention area:</t>
  </si>
  <si>
    <t>Printing the form may require some adjustments to the print settings for the printer being used.</t>
  </si>
  <si>
    <t>Home Owners Association (HOA) Information</t>
  </si>
  <si>
    <t>By affixing my professional seal and signature on this form, I hereby certify that the bioretention area has been constructed in accordance with the approved design.  I further certify that the drainage areas shown in the approved hydrology and hydraulic (H&amp;H) calculations do in fact drain into the bioretention area and that the post-development runoff mimics pre-development hydrology to the maximum extent practicable (MEP).</t>
  </si>
  <si>
    <t>The calculation methodology shall utilize the National Resource Conservation Resources (NRCS) Urban</t>
  </si>
  <si>
    <t>All applicable developments shall be responsible for ensuring that post-development hydrology mimics pre-</t>
  </si>
  <si>
    <t>The bioretention area shall allow the volume of stormwater associated with the WQv to drain slowly from the</t>
  </si>
  <si>
    <t>bioretention area within a 48-hour period;</t>
  </si>
  <si>
    <t>The latest version of the Alabama Low Impact Development Handbook for the State of Alabama is incorporated</t>
  </si>
  <si>
    <t>by reference; and,</t>
  </si>
  <si>
    <t>Biroretention areas shall be designed in accordance with the Alabama Low Impact Development Handbook for the</t>
  </si>
  <si>
    <t>State of Alabama.  Applicable design requirements include but are not limited to the following.</t>
  </si>
  <si>
    <t>A minimum of 200 square fee footprint is recommended or approximately 5% to 8% of the contributing</t>
  </si>
  <si>
    <t>impervious area;</t>
  </si>
  <si>
    <t>Ponded water shall drain within 12 hours, and stormwater shall infiltrate the bioretention cell to 2-feet</t>
  </si>
  <si>
    <t>below the surface within 48 hours;</t>
  </si>
  <si>
    <t>Components of the bioretention area may include a pretreatment device, bioretention area, overflow</t>
  </si>
  <si>
    <t>structure, underdrain, cleanout pipes, and internal water storage; and,</t>
  </si>
  <si>
    <t xml:space="preserve">The vegetation plan shall address plant types, plant sizes, plant establishement, lime and fertilizer, </t>
  </si>
  <si>
    <t>and plant spacing.</t>
  </si>
  <si>
    <t>Site features to include but not limited to roads, rights-of-way, property lines, driveways, buildings, parking</t>
  </si>
  <si>
    <t>areas, fences, retaining walls, dumpster pads, etc.</t>
  </si>
  <si>
    <t>Location of the bioretention area, contours, spot elevations, outlet structure, outlet pipe, emergency</t>
  </si>
  <si>
    <t>spillway, and outlet protection</t>
  </si>
  <si>
    <t>Current Logo</t>
  </si>
  <si>
    <t>This is a required field.  Once a number or text is entered, the green highlight will be removed.</t>
  </si>
  <si>
    <t>Max Elev.
(ft)</t>
  </si>
  <si>
    <t xml:space="preserve">City: </t>
  </si>
  <si>
    <t>Comments?</t>
  </si>
  <si>
    <t>Permit Type:</t>
  </si>
  <si>
    <t>Engineering or Building No.</t>
  </si>
  <si>
    <t>Max Velocity:</t>
  </si>
  <si>
    <t>Drain time exceeds the recommended 96 hours</t>
  </si>
  <si>
    <t>Max Velocity</t>
  </si>
  <si>
    <t>Lookup Table</t>
  </si>
  <si>
    <t>E. Spillway Yes/No</t>
  </si>
  <si>
    <t>Emerg Spillway Yes/No</t>
  </si>
  <si>
    <t>Complete Design Form with the required design information.  Once the Design Form is completed, most of the Design section of the As-built Form will be prepopulated.</t>
  </si>
  <si>
    <t>Use the drop down list to select an orifice or weir.</t>
  </si>
  <si>
    <t xml:space="preserve">Weir: </t>
  </si>
  <si>
    <t>Rainfall depths were obtained from NOAA Atlas 14, Volume 9, Version 2.</t>
  </si>
  <si>
    <t xml:space="preserve">Insp Report Due: </t>
  </si>
  <si>
    <t>30 Septbember</t>
  </si>
  <si>
    <t>1 September</t>
  </si>
  <si>
    <t>Insp Report Due:</t>
  </si>
  <si>
    <t xml:space="preserve">Seal: </t>
  </si>
  <si>
    <t>A bioretention area shall not be located within a floodplain or floodway;</t>
  </si>
  <si>
    <t>Installation of a bioretention area shall not adversely impact and/or cause flooding of properties</t>
  </si>
  <si>
    <t>located within, upstream, and/or downstream of the development;</t>
  </si>
  <si>
    <t>A stormwater pathway (i.e. piped storm sewer, overland flow, etc.) within the development shall</t>
  </si>
  <si>
    <t>be provided to convey the discharge resulting from a 100-year, 24-hour storm event in a manner that</t>
  </si>
  <si>
    <t>will not adversely impact and/or cause flooding of structures within the development;</t>
  </si>
  <si>
    <t>ENG No.</t>
  </si>
  <si>
    <t>Arch</t>
  </si>
  <si>
    <t>Elliptical</t>
  </si>
  <si>
    <t>V-notch</t>
  </si>
  <si>
    <t>(50-yr)</t>
  </si>
  <si>
    <t>Storms:</t>
  </si>
  <si>
    <t>2, 5, 10, 25, 50, and 100</t>
  </si>
  <si>
    <r>
      <t>Total Post Q is &lt; -0.50 ft</t>
    </r>
    <r>
      <rPr>
        <vertAlign val="superscript"/>
        <sz val="10.8"/>
        <color theme="1"/>
        <rFont val="Calibri"/>
        <family val="2"/>
      </rPr>
      <t>3</t>
    </r>
    <r>
      <rPr>
        <sz val="11"/>
        <color theme="1"/>
        <rFont val="Calibri"/>
        <family val="2"/>
        <scheme val="minor"/>
      </rPr>
      <t>/s of Pre Q</t>
    </r>
  </si>
  <si>
    <r>
      <t>Peak Discharge (ft</t>
    </r>
    <r>
      <rPr>
        <vertAlign val="superscript"/>
        <sz val="8"/>
        <color theme="1"/>
        <rFont val="Calibri"/>
        <family val="2"/>
      </rPr>
      <t>3</t>
    </r>
    <r>
      <rPr>
        <sz val="10"/>
        <color theme="1"/>
        <rFont val="Calibri"/>
        <family val="2"/>
        <scheme val="minor"/>
      </rPr>
      <t>/s)</t>
    </r>
  </si>
  <si>
    <t>Design Questions</t>
  </si>
  <si>
    <t>Does the bioretention area discharge into an existing storm sewer (i.e. pipe, concrete swale, etc.)?</t>
  </si>
  <si>
    <t>Flooding</t>
  </si>
  <si>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</si>
  <si>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</si>
  <si>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</si>
  <si>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</si>
  <si>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</si>
  <si>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</si>
  <si>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</si>
  <si>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</si>
  <si>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</si>
  <si>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</si>
  <si>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</si>
  <si>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 xml:space="preserve">Select Units: </t>
  </si>
  <si>
    <t xml:space="preserve"> ac</t>
  </si>
  <si>
    <t xml:space="preserve"> sq-ft</t>
  </si>
  <si>
    <t>Will all Phases or Lots be a member of the association?</t>
  </si>
  <si>
    <t>Imp. Area</t>
  </si>
  <si>
    <t xml:space="preserve">Total: </t>
  </si>
  <si>
    <t>Page 1 of 2</t>
  </si>
  <si>
    <t>Page 2 of 2</t>
  </si>
  <si>
    <t>Will the bioretention area be maintained by an association?</t>
  </si>
  <si>
    <t>Is the bioretention area located on a separate lot?</t>
  </si>
  <si>
    <t>By affixing my professional seal and signature on this form, I hereby certify that the proposed bioretention area was</t>
  </si>
  <si>
    <t>designed to accommodate the Phases and/or Lots included in this attachment.</t>
  </si>
  <si>
    <t>Location of bioretention area</t>
  </si>
  <si>
    <t>Emerg. Spillway</t>
  </si>
  <si>
    <t>Total</t>
  </si>
  <si>
    <t>Does the project drain to an area of known flooding?</t>
  </si>
  <si>
    <t xml:space="preserve">Does the project drain onto an adjacent property? </t>
  </si>
  <si>
    <t>Adj. Property</t>
  </si>
  <si>
    <t>Will future development phases discharge into the bioretention area?  Complete Form 2D.2.</t>
  </si>
  <si>
    <t xml:space="preserve">Design Form Date: </t>
  </si>
  <si>
    <t>31 December</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</si>
  <si>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</si>
  <si>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</si>
  <si>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</si>
  <si>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No. Taken</t>
  </si>
  <si>
    <t>Date</t>
  </si>
  <si>
    <t>Outlet control structure</t>
  </si>
  <si>
    <t>Outfall to receiving stream / storm sewer</t>
  </si>
  <si>
    <t>*Stone layer</t>
  </si>
  <si>
    <t>*Bioretention medial layer</t>
  </si>
  <si>
    <t>*Mulch layer</t>
  </si>
  <si>
    <t>General overview of vegetation</t>
  </si>
  <si>
    <t>*Underdrain pipe(s)</t>
  </si>
  <si>
    <t>*Overflow structure</t>
  </si>
  <si>
    <t>Automated Review Checks (continued)</t>
  </si>
  <si>
    <t>Page 1 of 5</t>
  </si>
  <si>
    <t>Page 2 of 5</t>
  </si>
  <si>
    <t>Page 3 of 5</t>
  </si>
  <si>
    <t>Page 4 of 5</t>
  </si>
  <si>
    <t>Page 5 of 5</t>
  </si>
  <si>
    <t>All required photographs are not provided</t>
  </si>
  <si>
    <t>Photographs:</t>
  </si>
  <si>
    <t xml:space="preserve">Contact Name: </t>
  </si>
  <si>
    <t>Form 2D.2 - Bioretention Area Design Form Attachment is attached?</t>
  </si>
  <si>
    <t>Form 2D.2 - Bioretention Area
Design Form Attachment</t>
  </si>
  <si>
    <t>No. Storms:</t>
  </si>
  <si>
    <t>Known Flooding Req:</t>
  </si>
  <si>
    <t>T-shape</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</si>
  <si>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</si>
  <si>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</si>
  <si>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</si>
  <si>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</si>
  <si>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</si>
  <si>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</si>
  <si>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</si>
  <si>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</si>
  <si>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</si>
  <si>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</si>
  <si>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Property</t>
  </si>
  <si>
    <t>Pre Q Lookup Table</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</si>
  <si>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</si>
  <si>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</si>
  <si>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</si>
  <si>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</si>
  <si>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</si>
  <si>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</si>
  <si>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</si>
  <si>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</si>
  <si>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</si>
  <si>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</si>
  <si>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Lat Text</t>
  </si>
  <si>
    <t>Long Text</t>
  </si>
  <si>
    <t>Latitude and/or Longitude has been entered as text.  Change to a number.</t>
  </si>
  <si>
    <t>Emergency Spillway (ES)</t>
  </si>
  <si>
    <t xml:space="preserve">Parcel No.: </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</si>
  <si>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</si>
  <si>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</si>
  <si>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</si>
  <si>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pond stage-area storage summary, pond discharge summary, inflow and outflow hydrographs, and outlet  velocities.</t>
  </si>
  <si>
    <t>Post-development discharges shall be less than pre-development discharges at all discharge locations.</t>
  </si>
  <si>
    <t>Provide the velocity at the end of any velocity dissipation device.</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</si>
  <si>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</si>
  <si>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</si>
  <si>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</si>
  <si>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</si>
  <si>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</si>
  <si>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</si>
  <si>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</si>
  <si>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Parcel No.:</t>
  </si>
  <si>
    <t>Parcel No. has not been provided</t>
  </si>
  <si>
    <t>Will not adversely impact and/or cause flooding of structures within, upstream, and/or downstream of the</t>
  </si>
  <si>
    <t>development;</t>
  </si>
  <si>
    <t>Drainage areas shown in the hydrology and hydraulic (H&amp;H) calculations drain into the underground detention</t>
  </si>
  <si>
    <t>system; and,</t>
  </si>
  <si>
    <t>Spillage agreement</t>
  </si>
  <si>
    <t>The as-built drawing shall bear the date, seal, and signature of the professional land surveyor.</t>
  </si>
  <si>
    <t>As-built drawing, at a minimum, shall include the following:</t>
  </si>
  <si>
    <t>Use the as-built drawing to complete Form 3D – Bioretention Area As-built Certification Form;</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</si>
  <si>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</si>
  <si>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</si>
  <si>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</si>
  <si>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</si>
  <si>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</si>
  <si>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</si>
  <si>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</si>
  <si>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</si>
  <si>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</si>
  <si>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</si>
  <si>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</si>
  <si>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Outlet protection section not completed</t>
  </si>
  <si>
    <t>Slope of the bottom of the detention pond  &lt; 2.00%</t>
  </si>
  <si>
    <t>Outlet Protection</t>
  </si>
  <si>
    <t>Riprap apron</t>
  </si>
  <si>
    <t>Concrete flume with baffles</t>
  </si>
  <si>
    <t>Concrete box with chambers</t>
  </si>
  <si>
    <t>Concrete box with baffles</t>
  </si>
  <si>
    <t>Pre-manufactured product</t>
  </si>
  <si>
    <t xml:space="preserve">Geotextile: </t>
  </si>
  <si>
    <t>Outlet Protection:</t>
  </si>
  <si>
    <t>Will the detention pond discharge to a channel?</t>
  </si>
  <si>
    <t>Will the detention pond discharge to an area of sheet flow?</t>
  </si>
  <si>
    <t>Will a level spreader be used?</t>
  </si>
  <si>
    <t>Design Storm</t>
  </si>
  <si>
    <t>Known or Adj Design Storm:</t>
  </si>
  <si>
    <t>Known or Adj Design Storm&lt;:</t>
  </si>
  <si>
    <t>Max Stage for 2, 5, 10, 25, and/or 50-year storm  &gt; emergency spillway crest elevation</t>
  </si>
  <si>
    <t xml:space="preserve">BMP ID: </t>
  </si>
  <si>
    <t>The intent of this form is to document the phases of development that will utilize the detention pond</t>
  </si>
  <si>
    <t xml:space="preserve">   Discharges to BMP?</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</si>
  <si>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</si>
  <si>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</si>
  <si>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</si>
  <si>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</si>
  <si>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</si>
  <si>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</si>
  <si>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</si>
  <si>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</si>
  <si>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</si>
  <si>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</si>
  <si>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</si>
  <si>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</si>
  <si>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</si>
  <si>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</si>
  <si>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</si>
  <si>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</si>
  <si>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</si>
  <si>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</si>
  <si>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</si>
  <si>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</si>
  <si>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</si>
  <si>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</si>
  <si>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</si>
  <si>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</si>
  <si>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</si>
  <si>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</si>
  <si>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</si>
  <si>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</si>
  <si>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</si>
  <si>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</si>
  <si>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</si>
  <si>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</si>
  <si>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</si>
  <si>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</si>
  <si>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</si>
  <si>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</si>
  <si>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</si>
  <si>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</si>
  <si>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As-Built does not match Design, provide a reason in the Comments section</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</si>
  <si>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</si>
  <si>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</si>
  <si>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</si>
  <si>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</si>
  <si>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</si>
  <si>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Phase ID</t>
  </si>
  <si>
    <t>-yr</t>
  </si>
  <si>
    <t>Level Spreader design documentation is attached.</t>
  </si>
  <si>
    <t>This form is for all phases associated with the BMP identified on the form</t>
  </si>
  <si>
    <t xml:space="preserve"> O&amp;M Plan</t>
  </si>
  <si>
    <t>Drainage Rights</t>
  </si>
  <si>
    <t>a Release Agreement</t>
  </si>
  <si>
    <t>a Spillage Agreement</t>
  </si>
  <si>
    <t>Bioretention Area (BA)</t>
  </si>
  <si>
    <r>
      <t>BA In Q
(ft</t>
    </r>
    <r>
      <rPr>
        <vertAlign val="superscript"/>
        <sz val="8"/>
        <color theme="1"/>
        <rFont val="Calibri"/>
        <family val="2"/>
      </rPr>
      <t>3</t>
    </r>
    <r>
      <rPr>
        <sz val="10"/>
        <color theme="1"/>
        <rFont val="Calibri"/>
        <family val="2"/>
        <scheme val="minor"/>
      </rPr>
      <t>/s)</t>
    </r>
  </si>
  <si>
    <r>
      <t>BA Out Q 
(ft</t>
    </r>
    <r>
      <rPr>
        <vertAlign val="superscript"/>
        <sz val="8"/>
        <color theme="1"/>
        <rFont val="Calibri"/>
        <family val="2"/>
      </rPr>
      <t>3</t>
    </r>
    <r>
      <rPr>
        <sz val="10"/>
        <color theme="1"/>
        <rFont val="Calibri"/>
        <family val="2"/>
        <scheme val="minor"/>
      </rPr>
      <t>/s)</t>
    </r>
  </si>
  <si>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</si>
  <si>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authorized, do not use the Tool.</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</si>
  <si>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</si>
  <si>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</si>
  <si>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</si>
  <si>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</si>
  <si>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</si>
  <si>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</si>
  <si>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</si>
  <si>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</si>
  <si>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</si>
  <si>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</si>
  <si>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</si>
  <si>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</si>
  <si>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</si>
  <si>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</si>
  <si>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</si>
  <si>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</si>
  <si>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</si>
  <si>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</si>
  <si>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</si>
  <si>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</si>
  <si>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</si>
  <si>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</si>
  <si>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END USER LICENSE AGREEMENT (EULA)</t>
  </si>
  <si>
    <t>BA = Bioretention Area</t>
  </si>
  <si>
    <r>
      <t>WQ</t>
    </r>
    <r>
      <rPr>
        <vertAlign val="subscript"/>
        <sz val="15"/>
        <color theme="1"/>
        <rFont val="Calibri"/>
        <family val="2"/>
      </rPr>
      <t>v</t>
    </r>
    <r>
      <rPr>
        <sz val="10"/>
        <color theme="1"/>
        <rFont val="Calibri"/>
        <family val="2"/>
        <scheme val="minor"/>
      </rPr>
      <t xml:space="preserve"> Elevation: </t>
    </r>
  </si>
  <si>
    <t>24-hour storm event without allowing any discharge from the emergency spillway;</t>
  </si>
  <si>
    <t>The principal outlet control structure for a bioretention area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</si>
</sst>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0.000000"/>
    <numFmt numFmtId="173" formatCode="#,##0.000"/>
    <numFmt numFmtId="174" formatCode="[$-409]mmmm\ d\,\ yyyy;@"/>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u/>
      <sz val="10"/>
      <color theme="10"/>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6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3" fontId="3" fillId="0" borderId="0" xfId="0" applyNumberFormat="1"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8" fillId="0" borderId="0" xfId="0" applyFont="1" applyAlignment="1">
      <alignment horizontal="center" vertical="center" wrapText="1"/>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1"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7"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166" fontId="3" fillId="0" borderId="0" xfId="0" applyNumberFormat="1" applyFont="1" applyAlignment="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8" fillId="0" borderId="0" xfId="0" applyFont="1" applyAlignment="1">
      <alignment vertical="center"/>
    </xf>
    <xf numFmtId="166" fontId="0" fillId="0" borderId="0" xfId="0" applyNumberFormat="1" applyAlignment="1">
      <alignment horizontal="center" vertical="top"/>
    </xf>
    <xf numFmtId="0" fontId="0" fillId="0" borderId="0" xfId="0" applyAlignment="1">
      <alignment horizontal="left" vertical="top" wrapText="1"/>
    </xf>
    <xf numFmtId="0" fontId="3" fillId="0" borderId="3" xfId="0" applyFont="1" applyBorder="1" applyAlignment="1">
      <alignment horizontal="center" vertical="center"/>
    </xf>
    <xf numFmtId="0" fontId="0" fillId="0" borderId="0" xfId="0" applyAlignment="1">
      <alignment horizontal="center" vertical="top" wrapText="1"/>
    </xf>
    <xf numFmtId="0" fontId="3" fillId="0" borderId="13" xfId="0" applyFont="1" applyBorder="1" applyAlignment="1">
      <alignment vertical="center"/>
    </xf>
    <xf numFmtId="2" fontId="3" fillId="0" borderId="3" xfId="0" applyNumberFormat="1" applyFont="1" applyBorder="1" applyAlignment="1">
      <alignment horizontal="right" vertical="center"/>
    </xf>
    <xf numFmtId="0" fontId="0" fillId="0" borderId="0" xfId="0" applyAlignment="1">
      <alignment horizontal="right" vertical="center"/>
    </xf>
    <xf numFmtId="0" fontId="3" fillId="0" borderId="1" xfId="0" applyFont="1" applyBorder="1" applyAlignment="1">
      <alignment vertical="center"/>
    </xf>
    <xf numFmtId="0" fontId="3" fillId="4" borderId="0" xfId="0" applyFont="1" applyFill="1" applyAlignment="1">
      <alignment horizontal="lef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top"/>
    </xf>
    <xf numFmtId="0" fontId="3" fillId="0" borderId="0" xfId="0" applyFont="1" applyAlignment="1">
      <alignment vertical="center" wrapText="1"/>
    </xf>
    <xf numFmtId="0" fontId="3" fillId="0" borderId="0" xfId="0" applyFont="1"/>
    <xf numFmtId="166" fontId="3" fillId="0" borderId="0" xfId="0" applyNumberFormat="1" applyFont="1" applyAlignment="1">
      <alignment horizontal="center" vertical="top"/>
    </xf>
    <xf numFmtId="166" fontId="3" fillId="0" borderId="0" xfId="0" applyNumberFormat="1" applyFont="1" applyAlignment="1">
      <alignment horizontal="left" vertical="top"/>
    </xf>
    <xf numFmtId="0" fontId="3" fillId="0" borderId="0" xfId="0" applyFont="1" applyAlignment="1">
      <alignment horizontal="center" vertical="top" wrapText="1"/>
    </xf>
    <xf numFmtId="0" fontId="25" fillId="0" borderId="0" xfId="0" applyFont="1" applyAlignment="1">
      <alignment horizontal="center" vertical="center"/>
    </xf>
    <xf numFmtId="0" fontId="3" fillId="6" borderId="11" xfId="0" applyFont="1" applyFill="1" applyBorder="1" applyAlignment="1">
      <alignment horizontal="center" vertical="center"/>
    </xf>
    <xf numFmtId="0" fontId="3" fillId="6" borderId="3" xfId="0" applyFont="1" applyFill="1" applyBorder="1" applyAlignment="1">
      <alignment horizontal="center" vertical="center"/>
    </xf>
    <xf numFmtId="0" fontId="9" fillId="6" borderId="0" xfId="0" applyFont="1" applyFill="1" applyAlignment="1">
      <alignment horizontal="center" vertical="center"/>
    </xf>
    <xf numFmtId="0" fontId="5" fillId="4" borderId="0" xfId="0" applyFont="1" applyFill="1" applyAlignment="1">
      <alignment horizontal="right" vertical="center"/>
    </xf>
    <xf numFmtId="3" fontId="3" fillId="6" borderId="11" xfId="0" applyNumberFormat="1" applyFont="1" applyFill="1" applyBorder="1" applyAlignment="1">
      <alignment horizontal="center" vertical="center"/>
    </xf>
    <xf numFmtId="1" fontId="3" fillId="6" borderId="11" xfId="0" applyNumberFormat="1" applyFont="1" applyFill="1" applyBorder="1" applyAlignment="1">
      <alignment horizontal="center" vertical="center"/>
    </xf>
    <xf numFmtId="2" fontId="3" fillId="6" borderId="11" xfId="0" applyNumberFormat="1" applyFont="1" applyFill="1" applyBorder="1" applyAlignment="1">
      <alignment horizontal="center" vertical="center"/>
    </xf>
    <xf numFmtId="0" fontId="9" fillId="6" borderId="0" xfId="0" applyFont="1" applyFill="1" applyAlignment="1">
      <alignment horizontal="right" vertical="center"/>
    </xf>
    <xf numFmtId="0" fontId="29" fillId="0" borderId="0" xfId="0" applyFont="1"/>
    <xf numFmtId="0" fontId="3" fillId="0" borderId="3" xfId="0" applyFont="1" applyBorder="1" applyAlignment="1">
      <alignment horizontal="right" vertical="center"/>
    </xf>
    <xf numFmtId="0" fontId="15" fillId="0" borderId="11" xfId="0" applyFont="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vertical="center" wrapText="1"/>
    </xf>
    <xf numFmtId="166" fontId="0" fillId="0" borderId="0" xfId="0" applyNumberFormat="1" applyAlignment="1">
      <alignment vertical="center"/>
    </xf>
    <xf numFmtId="0" fontId="22" fillId="0" borderId="0" xfId="0" applyFont="1" applyAlignment="1">
      <alignment horizontal="center" vertical="center"/>
    </xf>
    <xf numFmtId="0" fontId="3" fillId="0" borderId="8" xfId="0" applyFont="1" applyBorder="1" applyAlignment="1">
      <alignment vertical="center"/>
    </xf>
    <xf numFmtId="166" fontId="3" fillId="0" borderId="0" xfId="0" applyNumberFormat="1" applyFont="1" applyAlignment="1">
      <alignment horizontal="left" vertical="center"/>
    </xf>
    <xf numFmtId="173" fontId="3" fillId="0" borderId="0" xfId="0" applyNumberFormat="1" applyFont="1" applyAlignment="1">
      <alignment horizontal="right" vertical="center"/>
    </xf>
    <xf numFmtId="0" fontId="15" fillId="0" borderId="0" xfId="0" applyFont="1" applyAlignment="1">
      <alignment horizontal="center" vertical="center"/>
    </xf>
    <xf numFmtId="0" fontId="3" fillId="0" borderId="1" xfId="0" applyFont="1" applyBorder="1" applyAlignment="1">
      <alignment horizontal="right" vertical="center"/>
    </xf>
    <xf numFmtId="3" fontId="3" fillId="0" borderId="0" xfId="0" applyNumberFormat="1" applyFont="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1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2" fontId="3" fillId="6" borderId="15" xfId="0" applyNumberFormat="1" applyFont="1" applyFill="1" applyBorder="1" applyAlignment="1">
      <alignment horizontal="center" vertical="center"/>
    </xf>
    <xf numFmtId="0" fontId="5" fillId="3" borderId="3" xfId="0" applyFont="1" applyFill="1" applyBorder="1" applyAlignment="1">
      <alignment horizontal="right" vertical="center"/>
    </xf>
    <xf numFmtId="2" fontId="3" fillId="6" borderId="0" xfId="0" applyNumberFormat="1" applyFont="1" applyFill="1" applyAlignment="1">
      <alignment horizontal="center" vertical="center"/>
    </xf>
    <xf numFmtId="1" fontId="3" fillId="6" borderId="0" xfId="0" applyNumberFormat="1" applyFont="1" applyFill="1" applyAlignment="1">
      <alignment horizontal="center" vertical="center"/>
    </xf>
    <xf numFmtId="175" fontId="3" fillId="6" borderId="11" xfId="0" applyNumberFormat="1" applyFont="1" applyFill="1" applyBorder="1" applyAlignment="1">
      <alignment vertical="center"/>
    </xf>
    <xf numFmtId="1" fontId="3" fillId="0" borderId="3" xfId="0" applyNumberFormat="1" applyFont="1" applyBorder="1" applyAlignment="1">
      <alignment vertical="center"/>
    </xf>
    <xf numFmtId="169" fontId="0" fillId="0" borderId="0" xfId="0" quotePrefix="1" applyNumberFormat="1" applyAlignment="1">
      <alignment horizontal="center"/>
    </xf>
    <xf numFmtId="168" fontId="0" fillId="0" borderId="0" xfId="0" applyNumberFormat="1" applyAlignment="1">
      <alignment horizontal="center"/>
    </xf>
    <xf numFmtId="168" fontId="0" fillId="0" borderId="0" xfId="0" quotePrefix="1" applyNumberFormat="1" applyAlignment="1">
      <alignment horizontal="center"/>
    </xf>
    <xf numFmtId="2" fontId="0" fillId="0" borderId="0" xfId="0" applyNumberFormat="1" applyAlignment="1">
      <alignment horizontal="center"/>
    </xf>
    <xf numFmtId="2" fontId="0" fillId="0" borderId="0" xfId="0" applyNumberFormat="1" applyAlignment="1">
      <alignment horizontal="center" vertical="center"/>
    </xf>
    <xf numFmtId="169" fontId="0" fillId="0" borderId="0" xfId="0" applyNumberFormat="1" applyAlignment="1">
      <alignment horizontal="center"/>
    </xf>
    <xf numFmtId="168" fontId="0" fillId="7" borderId="12" xfId="0" applyNumberFormat="1" applyFill="1" applyBorder="1" applyAlignment="1">
      <alignment horizontal="center"/>
    </xf>
    <xf numFmtId="0" fontId="0" fillId="7" borderId="12" xfId="0" applyFill="1" applyBorder="1" applyAlignment="1">
      <alignment horizontal="center"/>
    </xf>
    <xf numFmtId="0" fontId="5" fillId="0" borderId="0" xfId="0" applyFont="1" applyAlignment="1">
      <alignment vertical="center"/>
    </xf>
    <xf numFmtId="0" fontId="1" fillId="6"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3" fontId="3" fillId="6" borderId="0" xfId="0" applyNumberFormat="1" applyFont="1" applyFill="1" applyAlignment="1">
      <alignment horizontal="center" vertical="center"/>
    </xf>
    <xf numFmtId="4" fontId="3" fillId="6" borderId="0" xfId="0" applyNumberFormat="1" applyFont="1" applyFill="1" applyAlignment="1">
      <alignment vertical="center"/>
    </xf>
    <xf numFmtId="1" fontId="3" fillId="6" borderId="15" xfId="0" applyNumberFormat="1" applyFont="1" applyFill="1" applyBorder="1" applyAlignment="1">
      <alignment horizontal="center" vertical="center"/>
    </xf>
    <xf numFmtId="1" fontId="0" fillId="0" borderId="0" xfId="0" applyNumberFormat="1" applyAlignment="1">
      <alignment horizontal="center" vertical="center"/>
    </xf>
    <xf numFmtId="0" fontId="29" fillId="0" borderId="0" xfId="0" applyFont="1" applyAlignment="1">
      <alignment horizontal="right" vertical="center"/>
    </xf>
    <xf numFmtId="0" fontId="9" fillId="0" borderId="0" xfId="0" applyFont="1" applyAlignment="1">
      <alignment horizontal="right" vertical="center"/>
    </xf>
    <xf numFmtId="0" fontId="15" fillId="6" borderId="0" xfId="0" applyFont="1" applyFill="1" applyAlignment="1">
      <alignment vertical="center"/>
    </xf>
    <xf numFmtId="0" fontId="9" fillId="0" borderId="11" xfId="0" applyFont="1" applyBorder="1" applyAlignment="1" applyProtection="1">
      <alignment horizontal="center" vertical="center"/>
      <protection locked="0"/>
    </xf>
    <xf numFmtId="0" fontId="15" fillId="6" borderId="11" xfId="0" applyFont="1" applyFill="1" applyBorder="1" applyAlignment="1">
      <alignment horizontal="center" vertical="center"/>
    </xf>
    <xf numFmtId="0" fontId="15" fillId="6" borderId="0" xfId="0" applyFont="1" applyFill="1" applyAlignment="1">
      <alignment horizontal="center" vertical="center"/>
    </xf>
    <xf numFmtId="166" fontId="15" fillId="6" borderId="0" xfId="0" applyNumberFormat="1" applyFont="1" applyFill="1" applyAlignment="1">
      <alignment horizontal="center" vertical="center"/>
    </xf>
    <xf numFmtId="0" fontId="0" fillId="0" borderId="19" xfId="0" applyBorder="1" applyAlignment="1">
      <alignment horizontal="right" vertical="center"/>
    </xf>
    <xf numFmtId="177" fontId="0" fillId="0" borderId="20" xfId="0" applyNumberFormat="1" applyBorder="1" applyAlignment="1">
      <alignment horizontal="center"/>
    </xf>
    <xf numFmtId="0" fontId="0" fillId="0" borderId="21" xfId="0" applyBorder="1" applyAlignment="1">
      <alignment horizontal="right" vertical="center"/>
    </xf>
    <xf numFmtId="0" fontId="0" fillId="9" borderId="22" xfId="0" applyFill="1" applyBorder="1" applyAlignment="1">
      <alignment horizontal="center"/>
    </xf>
    <xf numFmtId="177" fontId="0" fillId="9" borderId="12" xfId="0" applyNumberFormat="1" applyFill="1" applyBorder="1" applyAlignment="1">
      <alignment horizontal="center"/>
    </xf>
    <xf numFmtId="177" fontId="0" fillId="0" borderId="23"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right" vertical="center"/>
    </xf>
    <xf numFmtId="0" fontId="0" fillId="0" borderId="25" xfId="0" applyBorder="1" applyAlignment="1">
      <alignment horizontal="center"/>
    </xf>
    <xf numFmtId="0" fontId="0" fillId="0" borderId="0" xfId="0" applyAlignment="1">
      <alignment horizontal="right" vertical="center" indent="1"/>
    </xf>
    <xf numFmtId="0" fontId="31" fillId="8" borderId="16"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169" fontId="15" fillId="0" borderId="0" xfId="0" applyNumberFormat="1" applyFont="1" applyAlignment="1">
      <alignment horizontal="left" vertical="center"/>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0" fontId="31" fillId="8" borderId="17" xfId="0" applyFont="1" applyFill="1" applyBorder="1" applyAlignment="1">
      <alignment horizontal="center" vertical="center"/>
    </xf>
    <xf numFmtId="0" fontId="31" fillId="8" borderId="18" xfId="0" applyFont="1" applyFill="1" applyBorder="1" applyAlignment="1">
      <alignment horizontal="center" vertical="center"/>
    </xf>
    <xf numFmtId="169" fontId="15" fillId="0" borderId="0" xfId="0" applyNumberFormat="1" applyFont="1" applyAlignment="1">
      <alignment horizontal="left" vertical="center"/>
    </xf>
    <xf numFmtId="0" fontId="29"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0" borderId="0" xfId="0" applyFont="1" applyAlignment="1">
      <alignment horizontal="center" vertical="center" textRotation="90" wrapText="1"/>
    </xf>
    <xf numFmtId="168" fontId="18" fillId="0" borderId="0" xfId="0" applyNumberFormat="1" applyFont="1" applyAlignment="1">
      <alignment horizontal="left" vertical="center"/>
    </xf>
    <xf numFmtId="0" fontId="3" fillId="0" borderId="0" xfId="0" applyFont="1" applyAlignment="1">
      <alignment horizontal="center" vertical="center"/>
    </xf>
    <xf numFmtId="0" fontId="14" fillId="0" borderId="0" xfId="0" applyFont="1" applyAlignment="1">
      <alignment horizontal="left" vertical="center"/>
    </xf>
    <xf numFmtId="0" fontId="3"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2" fontId="3" fillId="0" borderId="1" xfId="0" applyNumberFormat="1"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2" fillId="0" borderId="0" xfId="0" applyFont="1" applyAlignment="1">
      <alignment horizontal="right" vertical="center" wrapText="1"/>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 fontId="3" fillId="0" borderId="2"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locked="0"/>
    </xf>
    <xf numFmtId="0" fontId="3" fillId="0" borderId="0" xfId="0" applyFont="1" applyAlignment="1">
      <alignment horizontal="center" vertical="center" wrapText="1"/>
    </xf>
    <xf numFmtId="2" fontId="3"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1" fontId="3" fillId="0" borderId="2" xfId="0" applyNumberFormat="1" applyFont="1" applyBorder="1" applyAlignment="1" applyProtection="1">
      <alignment horizontal="right" vertical="center"/>
      <protection locked="0"/>
    </xf>
    <xf numFmtId="175" fontId="3" fillId="0" borderId="1" xfId="0" applyNumberFormat="1" applyFont="1" applyBorder="1" applyAlignment="1" applyProtection="1">
      <alignment horizontal="right" vertical="center"/>
      <protection hidden="1"/>
    </xf>
    <xf numFmtId="4" fontId="3" fillId="0" borderId="4"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0" fontId="3" fillId="0" borderId="2" xfId="0" applyFont="1" applyBorder="1" applyAlignment="1" applyProtection="1">
      <alignment horizontal="left" vertical="center"/>
      <protection locked="0"/>
    </xf>
    <xf numFmtId="0" fontId="21" fillId="0" borderId="1" xfId="1" applyFont="1" applyBorder="1" applyAlignment="1" applyProtection="1">
      <alignment horizontal="left" vertical="center"/>
      <protection locked="0"/>
    </xf>
    <xf numFmtId="170" fontId="3" fillId="0" borderId="2" xfId="0" applyNumberFormat="1" applyFont="1" applyBorder="1" applyAlignment="1" applyProtection="1">
      <alignment horizontal="left" vertical="center"/>
      <protection locked="0"/>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176" fontId="3" fillId="0" borderId="1" xfId="0" applyNumberFormat="1" applyFont="1" applyBorder="1" applyAlignment="1" applyProtection="1">
      <alignment horizontal="right" vertical="center"/>
      <protection locked="0"/>
    </xf>
    <xf numFmtId="4" fontId="3" fillId="0" borderId="1" xfId="0" quotePrefix="1"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center" vertical="center"/>
      <protection locked="0"/>
    </xf>
    <xf numFmtId="173" fontId="3" fillId="0" borderId="1" xfId="0" applyNumberFormat="1" applyFont="1" applyBorder="1" applyAlignment="1" applyProtection="1">
      <alignment horizontal="right"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172" fontId="3" fillId="0" borderId="2" xfId="0" applyNumberFormat="1"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170" fontId="3" fillId="0" borderId="1" xfId="0" applyNumberFormat="1" applyFont="1" applyBorder="1" applyAlignment="1" applyProtection="1">
      <alignment horizontal="center" vertical="center"/>
      <protection locked="0"/>
    </xf>
    <xf numFmtId="0" fontId="11" fillId="0" borderId="2" xfId="1" applyBorder="1" applyAlignment="1" applyProtection="1">
      <alignment horizontal="left" vertical="center"/>
      <protection locked="0"/>
    </xf>
    <xf numFmtId="174" fontId="3" fillId="0" borderId="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hidden="1"/>
    </xf>
    <xf numFmtId="170" fontId="3" fillId="0" borderId="2" xfId="0" applyNumberFormat="1" applyFont="1" applyBorder="1" applyAlignment="1" applyProtection="1">
      <alignment horizontal="center" vertical="center"/>
      <protection locked="0"/>
    </xf>
    <xf numFmtId="164" fontId="3" fillId="3" borderId="2" xfId="0" applyNumberFormat="1" applyFont="1" applyFill="1" applyBorder="1" applyAlignment="1">
      <alignment horizontal="left" vertical="center"/>
    </xf>
    <xf numFmtId="0" fontId="3" fillId="0" borderId="0" xfId="0" applyFont="1" applyAlignment="1">
      <alignment horizontal="left" vertical="top" wrapText="1"/>
    </xf>
    <xf numFmtId="0" fontId="9" fillId="4" borderId="0" xfId="0" applyFont="1" applyFill="1" applyAlignment="1">
      <alignment horizontal="left" vertical="center"/>
    </xf>
    <xf numFmtId="2" fontId="3" fillId="0" borderId="2" xfId="0" applyNumberFormat="1" applyFont="1" applyBorder="1" applyAlignment="1">
      <alignment horizontal="right" vertical="center"/>
    </xf>
    <xf numFmtId="0" fontId="9" fillId="3" borderId="0" xfId="0" applyFont="1" applyFill="1" applyAlignment="1">
      <alignment horizontal="left" vertical="center"/>
    </xf>
    <xf numFmtId="0" fontId="3" fillId="0" borderId="2" xfId="0" applyFont="1" applyBorder="1" applyAlignment="1" applyProtection="1">
      <alignment horizontal="left" vertical="center"/>
      <protection hidden="1"/>
    </xf>
    <xf numFmtId="0" fontId="3" fillId="0" borderId="2" xfId="0" applyFont="1" applyBorder="1" applyAlignment="1">
      <alignment horizontal="right" vertical="center"/>
    </xf>
    <xf numFmtId="164" fontId="3" fillId="0" borderId="2" xfId="0" applyNumberFormat="1" applyFont="1" applyBorder="1" applyAlignment="1" applyProtection="1">
      <alignment horizontal="center" vertical="center"/>
      <protection locked="0"/>
    </xf>
    <xf numFmtId="2" fontId="3" fillId="0" borderId="1" xfId="0" applyNumberFormat="1" applyFont="1" applyBorder="1" applyAlignment="1">
      <alignment horizontal="right" vertical="center"/>
    </xf>
    <xf numFmtId="0" fontId="3" fillId="0" borderId="1" xfId="0" applyFont="1" applyBorder="1" applyAlignment="1" applyProtection="1">
      <alignment vertical="center"/>
      <protection locked="0"/>
    </xf>
    <xf numFmtId="3" fontId="3" fillId="0" borderId="2" xfId="0" applyNumberFormat="1" applyFont="1" applyBorder="1" applyAlignment="1">
      <alignment horizontal="right" vertical="center"/>
    </xf>
    <xf numFmtId="3" fontId="3" fillId="0" borderId="1" xfId="0" applyNumberFormat="1" applyFont="1" applyBorder="1" applyAlignment="1">
      <alignment horizontal="right" vertical="center"/>
    </xf>
    <xf numFmtId="2" fontId="3" fillId="0" borderId="2" xfId="0" applyNumberFormat="1" applyFont="1" applyBorder="1" applyAlignment="1" applyProtection="1">
      <alignment horizontal="right" vertical="center"/>
      <protection hidden="1"/>
    </xf>
    <xf numFmtId="1"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18" fillId="0" borderId="0" xfId="0" applyFont="1" applyAlignment="1">
      <alignment horizontal="center" vertical="center" wrapText="1"/>
    </xf>
    <xf numFmtId="4" fontId="3" fillId="0" borderId="2" xfId="0" applyNumberFormat="1" applyFont="1" applyBorder="1" applyAlignment="1">
      <alignment horizontal="right" vertical="center"/>
    </xf>
    <xf numFmtId="165" fontId="3" fillId="0" borderId="1" xfId="0" applyNumberFormat="1" applyFont="1" applyBorder="1" applyAlignment="1" applyProtection="1">
      <alignment horizontal="right" vertical="center"/>
      <protection hidden="1"/>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hidden="1"/>
    </xf>
    <xf numFmtId="176" fontId="3" fillId="0" borderId="1" xfId="0" applyNumberFormat="1" applyFont="1" applyBorder="1" applyAlignment="1">
      <alignment horizontal="right" vertical="center"/>
    </xf>
  </cellXfs>
  <cellStyles count="3">
    <cellStyle name="Hyperlink" xfId="1" builtinId="8"/>
    <cellStyle name="Normal" xfId="0" builtinId="0"/>
    <cellStyle name="Percent" xfId="2" builtinId="5"/>
  </cellStyles>
  <dxfs count="349">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3" formatCode="#,##0"/>
    </dxf>
    <dxf>
      <numFmt numFmtId="179"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numFmt numFmtId="3" formatCode="#,##0"/>
    </dxf>
    <dxf>
      <numFmt numFmtId="175"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5" tint="0.59996337778862885"/>
        </patternFill>
      </fill>
    </dxf>
    <dxf>
      <fill>
        <patternFill>
          <bgColor theme="5" tint="0.59996337778862885"/>
        </patternFill>
      </fill>
    </dxf>
    <dxf>
      <numFmt numFmtId="175"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3" formatCode="#,##0"/>
    </dxf>
    <dxf>
      <numFmt numFmtId="175" formatCode="#,##0.0000"/>
    </dxf>
    <dxf>
      <fill>
        <patternFill>
          <bgColor theme="9" tint="0.59996337778862885"/>
        </patternFill>
      </fill>
    </dxf>
    <dxf>
      <numFmt numFmtId="175" formatCode="#,##0.0000"/>
    </dxf>
    <dxf>
      <numFmt numFmtId="3" formatCode="#,##0"/>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140654</xdr:colOff>
      <xdr:row>44</xdr:row>
      <xdr:rowOff>56862</xdr:rowOff>
    </xdr:from>
    <xdr:to>
      <xdr:col>7</xdr:col>
      <xdr:colOff>990919</xdr:colOff>
      <xdr:row>44</xdr:row>
      <xdr:rowOff>780958</xdr:rowOff>
    </xdr:to>
    <xdr:pic>
      <xdr:nvPicPr>
        <xdr:cNvPr id="8" name="Picture 7">
          <a:extLst>
            <a:ext uri="{FF2B5EF4-FFF2-40B4-BE49-F238E27FC236}">
              <a16:creationId xmlns:a16="http://schemas.microsoft.com/office/drawing/2014/main" id="{9E5A6083-065B-4883-98A4-FF8269904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26854" y="9543762"/>
          <a:ext cx="850265" cy="727906"/>
        </a:xfrm>
        <a:prstGeom prst="rect">
          <a:avLst/>
        </a:prstGeom>
        <a:noFill/>
        <a:ln>
          <a:noFill/>
        </a:ln>
      </xdr:spPr>
    </xdr:pic>
    <xdr:clientData/>
  </xdr:twoCellAnchor>
  <xdr:twoCellAnchor editAs="oneCell">
    <xdr:from>
      <xdr:col>5</xdr:col>
      <xdr:colOff>131095</xdr:colOff>
      <xdr:row>43</xdr:row>
      <xdr:rowOff>83516</xdr:rowOff>
    </xdr:from>
    <xdr:to>
      <xdr:col>5</xdr:col>
      <xdr:colOff>931194</xdr:colOff>
      <xdr:row>43</xdr:row>
      <xdr:rowOff>801701</xdr:rowOff>
    </xdr:to>
    <xdr:pic>
      <xdr:nvPicPr>
        <xdr:cNvPr id="9" name="Picture 8">
          <a:extLst>
            <a:ext uri="{FF2B5EF4-FFF2-40B4-BE49-F238E27FC236}">
              <a16:creationId xmlns:a16="http://schemas.microsoft.com/office/drawing/2014/main" id="{BDB2911C-42BD-42F0-BEA7-7CF4BFC71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855620" y="10465766"/>
          <a:ext cx="803909" cy="718185"/>
        </a:xfrm>
        <a:prstGeom prst="rect">
          <a:avLst/>
        </a:prstGeom>
        <a:noFill/>
        <a:ln>
          <a:noFill/>
        </a:ln>
      </xdr:spPr>
    </xdr:pic>
    <xdr:clientData/>
  </xdr:twoCellAnchor>
  <xdr:twoCellAnchor editAs="oneCell">
    <xdr:from>
      <xdr:col>5</xdr:col>
      <xdr:colOff>200802</xdr:colOff>
      <xdr:row>40</xdr:row>
      <xdr:rowOff>49379</xdr:rowOff>
    </xdr:from>
    <xdr:to>
      <xdr:col>5</xdr:col>
      <xdr:colOff>934227</xdr:colOff>
      <xdr:row>40</xdr:row>
      <xdr:rowOff>778057</xdr:rowOff>
    </xdr:to>
    <xdr:pic>
      <xdr:nvPicPr>
        <xdr:cNvPr id="10" name="Picture 9">
          <a:extLst>
            <a:ext uri="{FF2B5EF4-FFF2-40B4-BE49-F238E27FC236}">
              <a16:creationId xmlns:a16="http://schemas.microsoft.com/office/drawing/2014/main" id="{EC2F9CB9-4AFF-477A-965D-E8EC155A0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5327" y="7974179"/>
          <a:ext cx="723900" cy="724868"/>
        </a:xfrm>
        <a:prstGeom prst="rect">
          <a:avLst/>
        </a:prstGeom>
        <a:ln>
          <a:noFill/>
        </a:ln>
      </xdr:spPr>
    </xdr:pic>
    <xdr:clientData/>
  </xdr:twoCellAnchor>
  <xdr:twoCellAnchor editAs="oneCell">
    <xdr:from>
      <xdr:col>5</xdr:col>
      <xdr:colOff>141572</xdr:colOff>
      <xdr:row>42</xdr:row>
      <xdr:rowOff>53954</xdr:rowOff>
    </xdr:from>
    <xdr:to>
      <xdr:col>5</xdr:col>
      <xdr:colOff>969945</xdr:colOff>
      <xdr:row>42</xdr:row>
      <xdr:rowOff>781664</xdr:rowOff>
    </xdr:to>
    <xdr:pic>
      <xdr:nvPicPr>
        <xdr:cNvPr id="11" name="Picture 10">
          <a:extLst>
            <a:ext uri="{FF2B5EF4-FFF2-40B4-BE49-F238E27FC236}">
              <a16:creationId xmlns:a16="http://schemas.microsoft.com/office/drawing/2014/main" id="{8DCF04AF-399C-494B-BFD2-1ABBA47859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866097" y="9617054"/>
          <a:ext cx="837898" cy="718185"/>
        </a:xfrm>
        <a:prstGeom prst="rect">
          <a:avLst/>
        </a:prstGeom>
        <a:noFill/>
        <a:ln>
          <a:noFill/>
        </a:ln>
      </xdr:spPr>
    </xdr:pic>
    <xdr:clientData/>
  </xdr:twoCellAnchor>
  <xdr:twoCellAnchor editAs="oneCell">
    <xdr:from>
      <xdr:col>5</xdr:col>
      <xdr:colOff>188084</xdr:colOff>
      <xdr:row>41</xdr:row>
      <xdr:rowOff>57844</xdr:rowOff>
    </xdr:from>
    <xdr:to>
      <xdr:col>5</xdr:col>
      <xdr:colOff>899153</xdr:colOff>
      <xdr:row>41</xdr:row>
      <xdr:rowOff>779839</xdr:rowOff>
    </xdr:to>
    <xdr:pic>
      <xdr:nvPicPr>
        <xdr:cNvPr id="12" name="Picture 11" descr="Logo&#10;&#10;Description automatically generated">
          <a:extLst>
            <a:ext uri="{FF2B5EF4-FFF2-40B4-BE49-F238E27FC236}">
              <a16:creationId xmlns:a16="http://schemas.microsoft.com/office/drawing/2014/main" id="{3288FCE9-D892-4E18-A570-403B94F534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12609" y="8801794"/>
          <a:ext cx="707259" cy="7258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1714500</xdr:colOff>
          <xdr:row>40</xdr:row>
          <xdr:rowOff>0</xdr:rowOff>
        </xdr:to>
        <xdr:pic>
          <xdr:nvPicPr>
            <xdr:cNvPr id="3" name="Picture 2">
              <a:extLst>
                <a:ext uri="{FF2B5EF4-FFF2-40B4-BE49-F238E27FC236}">
                  <a16:creationId xmlns:a16="http://schemas.microsoft.com/office/drawing/2014/main" id="{E8A77AB6-53EB-4B82-B86B-B2C010F0A777}"/>
                </a:ext>
              </a:extLst>
            </xdr:cNvPr>
            <xdr:cNvPicPr>
              <a:picLocks noChangeAspect="1"/>
              <a:extLst>
                <a:ext uri="{84589F7E-364E-4C9E-8A38-B11213B215E9}">
                  <a14:cameraTool cellRange="Logo" spid="_x0000_s1581"/>
                </a:ext>
              </a:extLst>
            </xdr:cNvPicPr>
          </xdr:nvPicPr>
          <xdr:blipFill>
            <a:blip xmlns:r="http://schemas.openxmlformats.org/officeDocument/2006/relationships" r:embed="rId6"/>
            <a:stretch>
              <a:fillRect/>
            </a:stretch>
          </xdr:blipFill>
          <xdr:spPr>
            <a:xfrm>
              <a:off x="7753350" y="7105650"/>
              <a:ext cx="1714500" cy="819150"/>
            </a:xfrm>
            <a:prstGeom prst="rect">
              <a:avLst/>
            </a:prstGeom>
            <a:ln>
              <a:noFill/>
            </a:ln>
          </xdr:spPr>
        </xdr:pic>
        <xdr:clientData/>
      </xdr:twoCellAnchor>
    </mc:Choice>
    <mc:Fallback/>
  </mc:AlternateContent>
  <xdr:twoCellAnchor editAs="oneCell">
    <xdr:from>
      <xdr:col>5</xdr:col>
      <xdr:colOff>83820</xdr:colOff>
      <xdr:row>44</xdr:row>
      <xdr:rowOff>160020</xdr:rowOff>
    </xdr:from>
    <xdr:to>
      <xdr:col>5</xdr:col>
      <xdr:colOff>1431331</xdr:colOff>
      <xdr:row>44</xdr:row>
      <xdr:rowOff>663508</xdr:rowOff>
    </xdr:to>
    <xdr:pic>
      <xdr:nvPicPr>
        <xdr:cNvPr id="7" name="Picture 6">
          <a:extLst>
            <a:ext uri="{FF2B5EF4-FFF2-40B4-BE49-F238E27FC236}">
              <a16:creationId xmlns:a16="http://schemas.microsoft.com/office/drawing/2014/main" id="{6D311F4B-04F9-4B6A-A50B-ACA22C59F34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43100" y="9646920"/>
          <a:ext cx="1355131" cy="495868"/>
        </a:xfrm>
        <a:prstGeom prst="rect">
          <a:avLst/>
        </a:prstGeom>
      </xdr:spPr>
    </xdr:pic>
    <xdr:clientData/>
  </xdr:twoCellAnchor>
  <xdr:twoCellAnchor editAs="oneCell">
    <xdr:from>
      <xdr:col>5</xdr:col>
      <xdr:colOff>190500</xdr:colOff>
      <xdr:row>39</xdr:row>
      <xdr:rowOff>9525</xdr:rowOff>
    </xdr:from>
    <xdr:to>
      <xdr:col>5</xdr:col>
      <xdr:colOff>1008380</xdr:colOff>
      <xdr:row>40</xdr:row>
      <xdr:rowOff>3175</xdr:rowOff>
    </xdr:to>
    <xdr:pic>
      <xdr:nvPicPr>
        <xdr:cNvPr id="2" name="Picture 1">
          <a:extLst>
            <a:ext uri="{FF2B5EF4-FFF2-40B4-BE49-F238E27FC236}">
              <a16:creationId xmlns:a16="http://schemas.microsoft.com/office/drawing/2014/main" id="{2470257D-4A3E-4666-98E2-B2215017DD31}"/>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5915025" y="7115175"/>
          <a:ext cx="82169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32</xdr:col>
      <xdr:colOff>21590</xdr:colOff>
      <xdr:row>53</xdr:row>
      <xdr:rowOff>82550</xdr:rowOff>
    </xdr:from>
    <xdr:ext cx="712568" cy="259080"/>
    <xdr:pic>
      <xdr:nvPicPr>
        <xdr:cNvPr id="4" name="Picture 3">
          <a:extLst>
            <a:ext uri="{FF2B5EF4-FFF2-40B4-BE49-F238E27FC236}">
              <a16:creationId xmlns:a16="http://schemas.microsoft.com/office/drawing/2014/main" id="{C355CB50-6C6C-4EEB-9328-B367DEF2F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8502650"/>
          <a:ext cx="712568" cy="259080"/>
        </a:xfrm>
        <a:prstGeom prst="rect">
          <a:avLst/>
        </a:prstGeom>
      </xdr:spPr>
    </xdr:pic>
    <xdr:clientData/>
  </xdr:oneCellAnchor>
  <xdr:oneCellAnchor>
    <xdr:from>
      <xdr:col>32</xdr:col>
      <xdr:colOff>55880</xdr:colOff>
      <xdr:row>110</xdr:row>
      <xdr:rowOff>91440</xdr:rowOff>
    </xdr:from>
    <xdr:ext cx="712568" cy="259080"/>
    <xdr:pic>
      <xdr:nvPicPr>
        <xdr:cNvPr id="5" name="Picture 4">
          <a:extLst>
            <a:ext uri="{FF2B5EF4-FFF2-40B4-BE49-F238E27FC236}">
              <a16:creationId xmlns:a16="http://schemas.microsoft.com/office/drawing/2014/main" id="{7849E525-F68B-4A32-BD7E-931CC7888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0000" y="9180129"/>
          <a:ext cx="712568" cy="259080"/>
        </a:xfrm>
        <a:prstGeom prst="rect">
          <a:avLst/>
        </a:prstGeom>
      </xdr:spPr>
    </xdr:pic>
    <xdr:clientData/>
  </xdr:oneCellAnchor>
  <xdr:oneCellAnchor>
    <xdr:from>
      <xdr:col>31</xdr:col>
      <xdr:colOff>167640</xdr:colOff>
      <xdr:row>162</xdr:row>
      <xdr:rowOff>38100</xdr:rowOff>
    </xdr:from>
    <xdr:ext cx="712568" cy="259080"/>
    <xdr:pic>
      <xdr:nvPicPr>
        <xdr:cNvPr id="6" name="Picture 5">
          <a:extLst>
            <a:ext uri="{FF2B5EF4-FFF2-40B4-BE49-F238E27FC236}">
              <a16:creationId xmlns:a16="http://schemas.microsoft.com/office/drawing/2014/main" id="{9FD6802B-404A-4995-8106-881EB5925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9640" y="254889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55880</xdr:colOff>
          <xdr:row>5</xdr:row>
          <xdr:rowOff>0</xdr:rowOff>
        </xdr:to>
        <xdr:pic>
          <xdr:nvPicPr>
            <xdr:cNvPr id="7" name="Picture 6">
              <a:extLst>
                <a:ext uri="{FF2B5EF4-FFF2-40B4-BE49-F238E27FC236}">
                  <a16:creationId xmlns:a16="http://schemas.microsoft.com/office/drawing/2014/main" id="{00AAE24E-932B-B08A-98B0-E220BF1080BA}"/>
                </a:ext>
              </a:extLst>
            </xdr:cNvPr>
            <xdr:cNvPicPr>
              <a:picLocks noChangeAspect="1" noChangeArrowheads="1"/>
              <a:extLst>
                <a:ext uri="{84589F7E-364E-4C9E-8A38-B11213B215E9}">
                  <a14:cameraTool cellRange="Logo" spid="_x0000_s10250"/>
                </a:ext>
              </a:extLst>
            </xdr:cNvPicPr>
          </xdr:nvPicPr>
          <xdr:blipFill>
            <a:blip xmlns:r="http://schemas.openxmlformats.org/officeDocument/2006/relationships" r:embed="rId2"/>
            <a:srcRect/>
            <a:stretch>
              <a:fillRect/>
            </a:stretch>
          </xdr:blipFill>
          <xdr:spPr bwMode="auto">
            <a:xfrm>
              <a:off x="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55</xdr:col>
          <xdr:colOff>130175</xdr:colOff>
          <xdr:row>5</xdr:row>
          <xdr:rowOff>0</xdr:rowOff>
        </xdr:to>
        <xdr:pic>
          <xdr:nvPicPr>
            <xdr:cNvPr id="8" name="Picture 7">
              <a:extLst>
                <a:ext uri="{FF2B5EF4-FFF2-40B4-BE49-F238E27FC236}">
                  <a16:creationId xmlns:a16="http://schemas.microsoft.com/office/drawing/2014/main" id="{DD3CF302-0D13-C83A-1EF9-FC0D6BB410FE}"/>
                </a:ext>
              </a:extLst>
            </xdr:cNvPr>
            <xdr:cNvPicPr>
              <a:picLocks noChangeAspect="1" noChangeArrowheads="1"/>
              <a:extLst>
                <a:ext uri="{84589F7E-364E-4C9E-8A38-B11213B215E9}">
                  <a14:cameraTool cellRange="Logo" spid="_x0000_s10251"/>
                </a:ext>
              </a:extLst>
            </xdr:cNvPicPr>
          </xdr:nvPicPr>
          <xdr:blipFill>
            <a:blip xmlns:r="http://schemas.openxmlformats.org/officeDocument/2006/relationships" r:embed="rId2"/>
            <a:srcRect/>
            <a:stretch>
              <a:fillRect/>
            </a:stretch>
          </xdr:blipFill>
          <xdr:spPr bwMode="auto">
            <a:xfrm>
              <a:off x="1330325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55880</xdr:colOff>
      <xdr:row>206</xdr:row>
      <xdr:rowOff>91440</xdr:rowOff>
    </xdr:from>
    <xdr:ext cx="712568" cy="259080"/>
    <xdr:pic>
      <xdr:nvPicPr>
        <xdr:cNvPr id="2" name="Picture 1">
          <a:extLst>
            <a:ext uri="{FF2B5EF4-FFF2-40B4-BE49-F238E27FC236}">
              <a16:creationId xmlns:a16="http://schemas.microsoft.com/office/drawing/2014/main" id="{A555A92B-916B-4912-8339-99D05B051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2190" y="25241250"/>
          <a:ext cx="712568" cy="25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9E909A79-A055-406B-A9A3-25CA33715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33975"/>
          <a:ext cx="712568" cy="259080"/>
        </a:xfrm>
        <a:prstGeom prst="rect">
          <a:avLst/>
        </a:prstGeom>
      </xdr:spPr>
    </xdr:pic>
    <xdr:clientData/>
  </xdr:oneCellAnchor>
  <xdr:oneCellAnchor>
    <xdr:from>
      <xdr:col>31</xdr:col>
      <xdr:colOff>187325</xdr:colOff>
      <xdr:row>61</xdr:row>
      <xdr:rowOff>85725</xdr:rowOff>
    </xdr:from>
    <xdr:ext cx="712568" cy="259080"/>
    <xdr:pic>
      <xdr:nvPicPr>
        <xdr:cNvPr id="4" name="Picture 3">
          <a:extLst>
            <a:ext uri="{FF2B5EF4-FFF2-40B4-BE49-F238E27FC236}">
              <a16:creationId xmlns:a16="http://schemas.microsoft.com/office/drawing/2014/main" id="{F5A3ABD0-BA06-4BA6-AEBE-9D688A192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86582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55880</xdr:colOff>
          <xdr:row>5</xdr:row>
          <xdr:rowOff>0</xdr:rowOff>
        </xdr:to>
        <xdr:pic>
          <xdr:nvPicPr>
            <xdr:cNvPr id="7" name="Picture 6">
              <a:extLst>
                <a:ext uri="{FF2B5EF4-FFF2-40B4-BE49-F238E27FC236}">
                  <a16:creationId xmlns:a16="http://schemas.microsoft.com/office/drawing/2014/main" id="{78C0A340-0059-460B-97CF-63DE1AE4868D}"/>
                </a:ext>
              </a:extLst>
            </xdr:cNvPr>
            <xdr:cNvPicPr>
              <a:picLocks noChangeAspect="1" noChangeArrowheads="1"/>
              <a:extLst>
                <a:ext uri="{84589F7E-364E-4C9E-8A38-B11213B215E9}">
                  <a14:cameraTool cellRange="Logo" spid="_x0000_s6868"/>
                </a:ext>
              </a:extLst>
            </xdr:cNvPicPr>
          </xdr:nvPicPr>
          <xdr:blipFill>
            <a:blip xmlns:r="http://schemas.openxmlformats.org/officeDocument/2006/relationships" r:embed="rId2"/>
            <a:srcRect/>
            <a:stretch>
              <a:fillRect/>
            </a:stretch>
          </xdr:blipFill>
          <xdr:spPr bwMode="auto">
            <a:xfrm>
              <a:off x="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53975</xdr:colOff>
          <xdr:row>0</xdr:row>
          <xdr:rowOff>0</xdr:rowOff>
        </xdr:from>
        <xdr:to>
          <xdr:col>52</xdr:col>
          <xdr:colOff>53975</xdr:colOff>
          <xdr:row>5</xdr:row>
          <xdr:rowOff>0</xdr:rowOff>
        </xdr:to>
        <xdr:pic>
          <xdr:nvPicPr>
            <xdr:cNvPr id="8" name="Picture 7">
              <a:extLst>
                <a:ext uri="{FF2B5EF4-FFF2-40B4-BE49-F238E27FC236}">
                  <a16:creationId xmlns:a16="http://schemas.microsoft.com/office/drawing/2014/main" id="{9D0AA16D-B67E-4407-9111-D03F97ACE4E8}"/>
                </a:ext>
              </a:extLst>
            </xdr:cNvPr>
            <xdr:cNvPicPr>
              <a:picLocks noChangeAspect="1" noChangeArrowheads="1"/>
              <a:extLst>
                <a:ext uri="{84589F7E-364E-4C9E-8A38-B11213B215E9}">
                  <a14:cameraTool cellRange="Logo" spid="_x0000_s6869"/>
                </a:ext>
              </a:extLst>
            </xdr:cNvPicPr>
          </xdr:nvPicPr>
          <xdr:blipFill>
            <a:blip xmlns:r="http://schemas.openxmlformats.org/officeDocument/2006/relationships" r:embed="rId2"/>
            <a:srcRect/>
            <a:stretch>
              <a:fillRect/>
            </a:stretch>
          </xdr:blipFill>
          <xdr:spPr bwMode="auto">
            <a:xfrm>
              <a:off x="7165975"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121285</xdr:colOff>
      <xdr:row>56</xdr:row>
      <xdr:rowOff>44450</xdr:rowOff>
    </xdr:from>
    <xdr:ext cx="712568" cy="259080"/>
    <xdr:pic>
      <xdr:nvPicPr>
        <xdr:cNvPr id="6" name="Picture 5">
          <a:extLst>
            <a:ext uri="{FF2B5EF4-FFF2-40B4-BE49-F238E27FC236}">
              <a16:creationId xmlns:a16="http://schemas.microsoft.com/office/drawing/2014/main" id="{598F9883-1F5E-4FA7-8EF0-01A21665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235" y="8718550"/>
          <a:ext cx="712568" cy="259080"/>
        </a:xfrm>
        <a:prstGeom prst="rect">
          <a:avLst/>
        </a:prstGeom>
      </xdr:spPr>
    </xdr:pic>
    <xdr:clientData/>
  </xdr:oneCellAnchor>
  <xdr:oneCellAnchor>
    <xdr:from>
      <xdr:col>33</xdr:col>
      <xdr:colOff>64135</xdr:colOff>
      <xdr:row>102</xdr:row>
      <xdr:rowOff>88900</xdr:rowOff>
    </xdr:from>
    <xdr:ext cx="712568" cy="259080"/>
    <xdr:pic>
      <xdr:nvPicPr>
        <xdr:cNvPr id="7" name="Picture 6">
          <a:extLst>
            <a:ext uri="{FF2B5EF4-FFF2-40B4-BE49-F238E27FC236}">
              <a16:creationId xmlns:a16="http://schemas.microsoft.com/office/drawing/2014/main" id="{A3AAA8B5-EC39-46D5-B0BC-388F53B98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1085" y="16973550"/>
          <a:ext cx="712568" cy="259080"/>
        </a:xfrm>
        <a:prstGeom prst="rect">
          <a:avLst/>
        </a:prstGeom>
      </xdr:spPr>
    </xdr:pic>
    <xdr:clientData/>
  </xdr:oneCellAnchor>
  <xdr:oneCellAnchor>
    <xdr:from>
      <xdr:col>33</xdr:col>
      <xdr:colOff>142240</xdr:colOff>
      <xdr:row>147</xdr:row>
      <xdr:rowOff>91440</xdr:rowOff>
    </xdr:from>
    <xdr:ext cx="712568" cy="259080"/>
    <xdr:pic>
      <xdr:nvPicPr>
        <xdr:cNvPr id="8" name="Picture 7">
          <a:extLst>
            <a:ext uri="{FF2B5EF4-FFF2-40B4-BE49-F238E27FC236}">
              <a16:creationId xmlns:a16="http://schemas.microsoft.com/office/drawing/2014/main" id="{A1727601-56E6-49A5-8184-99FDCDBCA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285" y="91821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59055</xdr:colOff>
          <xdr:row>5</xdr:row>
          <xdr:rowOff>1270</xdr:rowOff>
        </xdr:to>
        <xdr:pic>
          <xdr:nvPicPr>
            <xdr:cNvPr id="13" name="Picture 12">
              <a:extLst>
                <a:ext uri="{FF2B5EF4-FFF2-40B4-BE49-F238E27FC236}">
                  <a16:creationId xmlns:a16="http://schemas.microsoft.com/office/drawing/2014/main" id="{3879FBE3-A02F-9F73-C96D-5EC5FD7A33BC}"/>
                </a:ext>
              </a:extLst>
            </xdr:cNvPr>
            <xdr:cNvPicPr>
              <a:picLocks noChangeAspect="1" noChangeArrowheads="1"/>
              <a:extLst>
                <a:ext uri="{84589F7E-364E-4C9E-8A38-B11213B215E9}">
                  <a14:cameraTool cellRange="Logo" spid="_x0000_s4092"/>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0</xdr:row>
          <xdr:rowOff>0</xdr:rowOff>
        </xdr:from>
        <xdr:to>
          <xdr:col>55</xdr:col>
          <xdr:colOff>0</xdr:colOff>
          <xdr:row>5</xdr:row>
          <xdr:rowOff>0</xdr:rowOff>
        </xdr:to>
        <xdr:pic>
          <xdr:nvPicPr>
            <xdr:cNvPr id="14" name="Picture 13">
              <a:extLst>
                <a:ext uri="{FF2B5EF4-FFF2-40B4-BE49-F238E27FC236}">
                  <a16:creationId xmlns:a16="http://schemas.microsoft.com/office/drawing/2014/main" id="{6F831F27-8A73-7520-A92C-1AB718A94A73}"/>
                </a:ext>
              </a:extLst>
            </xdr:cNvPr>
            <xdr:cNvPicPr>
              <a:picLocks noChangeAspect="1" noChangeArrowheads="1"/>
              <a:extLst>
                <a:ext uri="{84589F7E-364E-4C9E-8A38-B11213B215E9}">
                  <a14:cameraTool cellRange="Logo" spid="_x0000_s4093"/>
                </a:ext>
              </a:extLst>
            </xdr:cNvPicPr>
          </xdr:nvPicPr>
          <xdr:blipFill>
            <a:blip xmlns:r="http://schemas.openxmlformats.org/officeDocument/2006/relationships" r:embed="rId2"/>
            <a:srcRect/>
            <a:stretch>
              <a:fillRect/>
            </a:stretch>
          </xdr:blipFill>
          <xdr:spPr bwMode="auto">
            <a:xfrm>
              <a:off x="7188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135890</xdr:colOff>
      <xdr:row>241</xdr:row>
      <xdr:rowOff>85090</xdr:rowOff>
    </xdr:from>
    <xdr:ext cx="712568" cy="259080"/>
    <xdr:pic>
      <xdr:nvPicPr>
        <xdr:cNvPr id="2" name="Picture 1">
          <a:extLst>
            <a:ext uri="{FF2B5EF4-FFF2-40B4-BE49-F238E27FC236}">
              <a16:creationId xmlns:a16="http://schemas.microsoft.com/office/drawing/2014/main" id="{8EC787EA-F0D4-400A-8DA8-0F677B5A0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8690" y="42287190"/>
          <a:ext cx="712568" cy="259080"/>
        </a:xfrm>
        <a:prstGeom prst="rect">
          <a:avLst/>
        </a:prstGeom>
      </xdr:spPr>
    </xdr:pic>
    <xdr:clientData/>
  </xdr:oneCellAnchor>
  <xdr:oneCellAnchor>
    <xdr:from>
      <xdr:col>33</xdr:col>
      <xdr:colOff>6985</xdr:colOff>
      <xdr:row>197</xdr:row>
      <xdr:rowOff>95250</xdr:rowOff>
    </xdr:from>
    <xdr:ext cx="712568" cy="259080"/>
    <xdr:pic>
      <xdr:nvPicPr>
        <xdr:cNvPr id="3" name="Picture 2">
          <a:extLst>
            <a:ext uri="{FF2B5EF4-FFF2-40B4-BE49-F238E27FC236}">
              <a16:creationId xmlns:a16="http://schemas.microsoft.com/office/drawing/2014/main" id="{E009A702-ED15-4974-8ADE-E370BAF08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3722624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able6" displayName="Table6" ref="J1:J23" totalsRowShown="0">
  <autoFilter ref="J1:J23"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3BED87-1D57-48C4-810D-09A2B6FA30FE}" name="OP" displayName="OP" ref="H8:H14" totalsRowShown="0" headerRowDxfId="348" dataDxfId="347">
  <autoFilter ref="H8:H14" xr:uid="{183BED87-1D57-48C4-810D-09A2B6FA30FE}"/>
  <tableColumns count="1">
    <tableColumn id="1" xr3:uid="{7E2AE150-8014-4F40-98D3-07D74FF920F2}" name="Outlet Protection" dataDxfId="3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13B042-C432-4BA1-9D21-2A0E47874AED}" name="Table810" displayName="Table810" ref="B11:B14" totalsRowShown="0" headerRowDxfId="345" dataDxfId="344">
  <autoFilter ref="B11:B14" xr:uid="{1013B042-C432-4BA1-9D21-2A0E47874AED}"/>
  <tableColumns count="1">
    <tableColumn id="1" xr3:uid="{7716CE36-9BFB-439D-8FCE-8CEEB4A827E0}" name="Acceptance Table" dataDxfId="3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0F8A11-DEC5-4D52-AB71-35E74092CB97}" name="Storms" displayName="Storms" ref="K26:L32" totalsRowShown="0" headerRowDxfId="342">
  <autoFilter ref="K26:L32" xr:uid="{1F0F8A11-DEC5-4D52-AB71-35E74092CB97}"/>
  <tableColumns count="2">
    <tableColumn id="1" xr3:uid="{27A9630C-ED81-4887-A815-D72BD35F337F}" name="Known or Adj Storm" dataDxfId="341"/>
    <tableColumn id="2" xr3:uid="{19387014-5693-4368-B806-9D31715551BD}" name="Requirements" dataDxfId="3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9C334E-9385-4760-BF83-807AB303859A}" name="Table8" displayName="Table8" ref="L35:L37" totalsRowShown="0" headerRowDxfId="339" dataDxfId="338">
  <autoFilter ref="L35:L37" xr:uid="{6B9C334E-9385-4760-BF83-807AB303859A}"/>
  <tableColumns count="1">
    <tableColumn id="1" xr3:uid="{7328D213-0B9A-45C1-BEC7-AFB0FD436235}" name="Question" dataDxfId="33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S45"/>
  <sheetViews>
    <sheetView showGridLines="0" zoomScaleNormal="100" workbookViewId="0">
      <selection activeCell="T27" sqref="T27"/>
    </sheetView>
  </sheetViews>
  <sheetFormatPr defaultRowHeight="14.4" x14ac:dyDescent="0.3"/>
  <cols>
    <col min="1" max="1" width="28.44140625" bestFit="1" customWidth="1"/>
    <col min="2" max="2" width="23.21875" bestFit="1" customWidth="1"/>
    <col min="3" max="3" width="4.77734375" customWidth="1"/>
    <col min="4" max="4" width="23.33203125" bestFit="1" customWidth="1"/>
    <col min="5" max="5" width="3.77734375" customWidth="1"/>
    <col min="6" max="6" width="25" bestFit="1" customWidth="1"/>
    <col min="7" max="7" width="4.5546875" bestFit="1" customWidth="1"/>
    <col min="8" max="8" width="26" bestFit="1" customWidth="1"/>
    <col min="9" max="9" width="3.77734375" customWidth="1"/>
    <col min="10" max="10" width="75.6640625" bestFit="1" customWidth="1"/>
    <col min="11" max="11" width="20" customWidth="1"/>
    <col min="12" max="12" width="23.33203125" bestFit="1" customWidth="1"/>
    <col min="13" max="13" width="23.33203125" customWidth="1"/>
    <col min="14" max="15" width="20.44140625" style="83" bestFit="1" customWidth="1"/>
    <col min="16" max="16" width="25" style="83" bestFit="1" customWidth="1"/>
    <col min="17" max="18" width="20.44140625" style="83" bestFit="1" customWidth="1"/>
  </cols>
  <sheetData>
    <row r="1" spans="1:18" x14ac:dyDescent="0.3">
      <c r="A1" s="172" t="s">
        <v>511</v>
      </c>
      <c r="B1" s="173"/>
      <c r="D1" t="s">
        <v>23</v>
      </c>
      <c r="F1" t="s">
        <v>33</v>
      </c>
      <c r="H1" t="s">
        <v>63</v>
      </c>
      <c r="J1" t="s">
        <v>81</v>
      </c>
      <c r="K1">
        <v>1</v>
      </c>
      <c r="L1" s="164" t="s">
        <v>334</v>
      </c>
      <c r="M1" s="164" t="s">
        <v>522</v>
      </c>
      <c r="N1" s="164" t="s">
        <v>149</v>
      </c>
      <c r="O1" s="164" t="s">
        <v>283</v>
      </c>
      <c r="P1" s="164" t="s">
        <v>151</v>
      </c>
      <c r="Q1" s="164" t="s">
        <v>148</v>
      </c>
      <c r="R1" s="164" t="s">
        <v>150</v>
      </c>
    </row>
    <row r="2" spans="1:18" x14ac:dyDescent="0.3">
      <c r="A2" s="154" t="s">
        <v>512</v>
      </c>
      <c r="B2" s="155">
        <f>EDATE(F$13,B3)</f>
        <v>46296</v>
      </c>
      <c r="D2" t="s">
        <v>24</v>
      </c>
      <c r="F2" t="s">
        <v>353</v>
      </c>
      <c r="H2" t="s">
        <v>170</v>
      </c>
      <c r="J2" t="s">
        <v>83</v>
      </c>
      <c r="K2">
        <f>K1+1</f>
        <v>2</v>
      </c>
      <c r="L2" s="80" t="s">
        <v>5</v>
      </c>
      <c r="M2" s="135">
        <v>1</v>
      </c>
      <c r="N2" s="134">
        <v>1.1000000000000001</v>
      </c>
      <c r="O2" s="134">
        <v>1.1000000000000001</v>
      </c>
      <c r="P2" s="134">
        <v>1.2</v>
      </c>
      <c r="Q2" s="134">
        <v>1.1000000000000001</v>
      </c>
      <c r="R2" s="135">
        <v>1.1000000000000001</v>
      </c>
    </row>
    <row r="3" spans="1:18" x14ac:dyDescent="0.3">
      <c r="A3" s="156" t="s">
        <v>513</v>
      </c>
      <c r="B3" s="157">
        <v>12</v>
      </c>
      <c r="D3" t="s">
        <v>71</v>
      </c>
      <c r="F3" t="s">
        <v>354</v>
      </c>
      <c r="H3" t="s">
        <v>171</v>
      </c>
      <c r="J3" t="s">
        <v>76</v>
      </c>
      <c r="K3">
        <f t="shared" ref="K3:K23" si="0">K2+1</f>
        <v>3</v>
      </c>
      <c r="L3" s="80" t="s">
        <v>6</v>
      </c>
      <c r="M3" s="135">
        <v>6.02</v>
      </c>
      <c r="N3" s="134">
        <v>4.1100000000000003</v>
      </c>
      <c r="O3" s="134">
        <v>4.1399999999999997</v>
      </c>
      <c r="P3" s="134">
        <v>5.7</v>
      </c>
      <c r="Q3" s="134">
        <v>4.24</v>
      </c>
      <c r="R3" s="135">
        <v>4.21</v>
      </c>
    </row>
    <row r="4" spans="1:18" x14ac:dyDescent="0.3">
      <c r="A4" s="156" t="s">
        <v>514</v>
      </c>
      <c r="B4" s="158"/>
      <c r="D4" t="s">
        <v>72</v>
      </c>
      <c r="F4" t="s">
        <v>161</v>
      </c>
      <c r="H4" t="s">
        <v>339</v>
      </c>
      <c r="J4" t="s">
        <v>82</v>
      </c>
      <c r="K4">
        <f t="shared" si="0"/>
        <v>4</v>
      </c>
      <c r="L4" s="80" t="s">
        <v>7</v>
      </c>
      <c r="M4" s="135">
        <v>7.68</v>
      </c>
      <c r="N4" s="134">
        <v>5.01</v>
      </c>
      <c r="O4" s="134">
        <v>5.0599999999999996</v>
      </c>
      <c r="P4" s="134">
        <v>7.21</v>
      </c>
      <c r="Q4" s="134">
        <v>5.3</v>
      </c>
      <c r="R4" s="135">
        <v>5.24</v>
      </c>
    </row>
    <row r="5" spans="1:18" x14ac:dyDescent="0.3">
      <c r="A5" s="156" t="s">
        <v>515</v>
      </c>
      <c r="B5" s="157" t="s">
        <v>543</v>
      </c>
      <c r="D5" t="s">
        <v>28</v>
      </c>
      <c r="F5" t="s">
        <v>160</v>
      </c>
      <c r="J5" t="s">
        <v>73</v>
      </c>
      <c r="K5">
        <f t="shared" si="0"/>
        <v>5</v>
      </c>
      <c r="L5" s="80" t="s">
        <v>8</v>
      </c>
      <c r="M5" s="135">
        <v>9.26</v>
      </c>
      <c r="N5" s="134">
        <v>5.87</v>
      </c>
      <c r="O5" s="134">
        <v>5.91</v>
      </c>
      <c r="P5" s="134">
        <v>8.6300000000000008</v>
      </c>
      <c r="Q5" s="134">
        <v>6.24</v>
      </c>
      <c r="R5" s="135">
        <v>6.17</v>
      </c>
    </row>
    <row r="6" spans="1:18" x14ac:dyDescent="0.3">
      <c r="A6" s="156" t="s">
        <v>516</v>
      </c>
      <c r="B6" s="159">
        <f>IF(ISBLANK($B$4),$B$2,$B$4)</f>
        <v>46296</v>
      </c>
      <c r="D6" t="s">
        <v>26</v>
      </c>
      <c r="F6" t="s">
        <v>163</v>
      </c>
      <c r="J6" t="str">
        <f>"Velocity &gt; "&amp;F26&amp;" ft/s"</f>
        <v>Velocity &gt; 6 ft/s</v>
      </c>
      <c r="K6">
        <f t="shared" si="0"/>
        <v>6</v>
      </c>
      <c r="L6" s="80" t="s">
        <v>9</v>
      </c>
      <c r="M6" s="135">
        <v>11.7</v>
      </c>
      <c r="N6" s="134">
        <v>7.21</v>
      </c>
      <c r="O6" s="134">
        <v>7.26</v>
      </c>
      <c r="P6" s="134">
        <v>10.8</v>
      </c>
      <c r="Q6" s="134">
        <v>7.64</v>
      </c>
      <c r="R6" s="135">
        <v>7.55</v>
      </c>
    </row>
    <row r="7" spans="1:18" x14ac:dyDescent="0.3">
      <c r="A7" s="156" t="s">
        <v>517</v>
      </c>
      <c r="B7" s="160" t="b">
        <f>IF(License!$F$2="I ACCEPT",TRUE,FALSE)</f>
        <v>0</v>
      </c>
      <c r="D7" t="s">
        <v>25</v>
      </c>
      <c r="F7" t="s">
        <v>162</v>
      </c>
      <c r="J7" t="s">
        <v>500</v>
      </c>
      <c r="K7">
        <f t="shared" si="0"/>
        <v>7</v>
      </c>
      <c r="L7" s="80" t="s">
        <v>356</v>
      </c>
      <c r="M7" s="135">
        <v>13.9</v>
      </c>
      <c r="N7" s="134">
        <v>8.3699999999999992</v>
      </c>
      <c r="O7" s="134">
        <v>8.48</v>
      </c>
      <c r="P7" s="134">
        <v>12.7</v>
      </c>
      <c r="Q7" s="134">
        <v>8.8000000000000007</v>
      </c>
      <c r="R7" s="135">
        <v>8.6999999999999993</v>
      </c>
    </row>
    <row r="8" spans="1:18" x14ac:dyDescent="0.3">
      <c r="A8" s="161" t="s">
        <v>518</v>
      </c>
      <c r="B8" s="162" t="b">
        <f ca="1">OR(License!$F$4=B5, AND(B7=TRUE, NOW()&lt;B6))</f>
        <v>0</v>
      </c>
      <c r="D8" t="s">
        <v>30</v>
      </c>
      <c r="F8" t="s">
        <v>422</v>
      </c>
      <c r="H8" s="26" t="s">
        <v>486</v>
      </c>
      <c r="J8" t="s">
        <v>110</v>
      </c>
      <c r="K8">
        <f t="shared" si="0"/>
        <v>8</v>
      </c>
      <c r="L8" s="80" t="s">
        <v>10</v>
      </c>
      <c r="M8" s="135">
        <v>16.3</v>
      </c>
      <c r="N8" s="134">
        <v>9.65</v>
      </c>
      <c r="O8" s="134">
        <v>9.83</v>
      </c>
      <c r="P8" s="134">
        <v>14.8</v>
      </c>
      <c r="Q8" s="134">
        <v>10</v>
      </c>
      <c r="R8" s="135">
        <v>9.93</v>
      </c>
    </row>
    <row r="9" spans="1:18" ht="15.6" x14ac:dyDescent="0.35">
      <c r="A9" s="26"/>
      <c r="B9" s="26"/>
      <c r="D9" t="s">
        <v>27</v>
      </c>
      <c r="F9" t="s">
        <v>355</v>
      </c>
      <c r="H9" s="26" t="s">
        <v>487</v>
      </c>
      <c r="J9" t="s">
        <v>143</v>
      </c>
      <c r="K9">
        <f t="shared" si="0"/>
        <v>9</v>
      </c>
      <c r="L9" s="80" t="s">
        <v>286</v>
      </c>
      <c r="M9" s="165">
        <v>40574</v>
      </c>
      <c r="N9" s="131" t="s">
        <v>287</v>
      </c>
      <c r="O9" s="131" t="s">
        <v>288</v>
      </c>
      <c r="P9" s="131" t="s">
        <v>289</v>
      </c>
      <c r="Q9" s="131" t="s">
        <v>289</v>
      </c>
      <c r="R9" s="131" t="s">
        <v>290</v>
      </c>
    </row>
    <row r="10" spans="1:18" x14ac:dyDescent="0.3">
      <c r="A10" s="26"/>
      <c r="B10" s="26"/>
      <c r="D10" t="s">
        <v>70</v>
      </c>
      <c r="F10" t="s">
        <v>30</v>
      </c>
      <c r="H10" s="26" t="s">
        <v>488</v>
      </c>
      <c r="J10" t="s">
        <v>542</v>
      </c>
      <c r="K10">
        <f t="shared" si="0"/>
        <v>10</v>
      </c>
      <c r="L10" s="80" t="s">
        <v>291</v>
      </c>
      <c r="M10" s="142" t="s">
        <v>293</v>
      </c>
      <c r="N10" s="83" t="s">
        <v>292</v>
      </c>
      <c r="O10" s="83" t="s">
        <v>293</v>
      </c>
      <c r="P10" s="83" t="s">
        <v>292</v>
      </c>
      <c r="Q10" s="83" t="s">
        <v>292</v>
      </c>
      <c r="R10" s="83" t="s">
        <v>292</v>
      </c>
    </row>
    <row r="11" spans="1:18" x14ac:dyDescent="0.3">
      <c r="A11" s="26"/>
      <c r="B11" s="26" t="s">
        <v>519</v>
      </c>
      <c r="H11" s="26" t="s">
        <v>489</v>
      </c>
      <c r="J11" t="s">
        <v>281</v>
      </c>
      <c r="K11">
        <f t="shared" si="0"/>
        <v>11</v>
      </c>
      <c r="L11" s="80" t="s">
        <v>294</v>
      </c>
      <c r="M11" s="142" t="s">
        <v>552</v>
      </c>
      <c r="N11" s="83" t="s">
        <v>295</v>
      </c>
      <c r="O11" s="83" t="s">
        <v>117</v>
      </c>
      <c r="P11" s="83" t="s">
        <v>117</v>
      </c>
      <c r="Q11" s="83" t="s">
        <v>117</v>
      </c>
      <c r="R11" s="83" t="s">
        <v>117</v>
      </c>
    </row>
    <row r="12" spans="1:18" x14ac:dyDescent="0.3">
      <c r="A12" s="26"/>
      <c r="B12" s="26" t="s">
        <v>520</v>
      </c>
      <c r="H12" s="26" t="s">
        <v>490</v>
      </c>
      <c r="J12" t="s">
        <v>275</v>
      </c>
      <c r="K12">
        <f t="shared" si="0"/>
        <v>12</v>
      </c>
      <c r="L12" s="80" t="s">
        <v>329</v>
      </c>
      <c r="M12" s="142"/>
      <c r="P12" s="83" t="s">
        <v>330</v>
      </c>
      <c r="Q12" s="83" t="s">
        <v>352</v>
      </c>
    </row>
    <row r="13" spans="1:18" x14ac:dyDescent="0.3">
      <c r="A13" s="26"/>
      <c r="B13" s="26" t="s">
        <v>506</v>
      </c>
      <c r="D13" s="80" t="s">
        <v>268</v>
      </c>
      <c r="F13" s="137">
        <v>45931</v>
      </c>
      <c r="H13" s="26" t="s">
        <v>491</v>
      </c>
      <c r="J13" t="s">
        <v>332</v>
      </c>
      <c r="K13">
        <f t="shared" si="0"/>
        <v>13</v>
      </c>
      <c r="L13" s="80" t="s">
        <v>331</v>
      </c>
      <c r="M13" s="142">
        <v>6</v>
      </c>
      <c r="N13" s="83">
        <v>5</v>
      </c>
      <c r="O13" s="83">
        <v>5</v>
      </c>
      <c r="P13" s="83">
        <v>5</v>
      </c>
      <c r="Q13" s="83">
        <v>6</v>
      </c>
      <c r="R13" s="83">
        <v>6</v>
      </c>
    </row>
    <row r="14" spans="1:18" x14ac:dyDescent="0.3">
      <c r="A14" s="26"/>
      <c r="B14" s="26" t="s">
        <v>521</v>
      </c>
      <c r="D14" s="85" t="s">
        <v>152</v>
      </c>
      <c r="F14" s="138" t="s">
        <v>150</v>
      </c>
      <c r="H14" s="26" t="s">
        <v>30</v>
      </c>
      <c r="J14" t="s">
        <v>276</v>
      </c>
      <c r="K14">
        <f t="shared" si="0"/>
        <v>14</v>
      </c>
      <c r="L14" s="80" t="s">
        <v>341</v>
      </c>
      <c r="M14" s="166" t="s">
        <v>395</v>
      </c>
      <c r="N14" s="132"/>
      <c r="O14" s="132"/>
      <c r="P14" s="133" t="s">
        <v>395</v>
      </c>
      <c r="Q14" s="133" t="s">
        <v>342</v>
      </c>
      <c r="R14" s="133" t="s">
        <v>343</v>
      </c>
    </row>
    <row r="15" spans="1:18" ht="16.2" x14ac:dyDescent="0.3">
      <c r="D15" s="80" t="s">
        <v>5</v>
      </c>
      <c r="F15" s="134">
        <f>HLOOKUP($F$14,$M$1:$R$23,2)</f>
        <v>1.1000000000000001</v>
      </c>
      <c r="G15" s="83" t="str">
        <f>TEXT(F15,"0.00")</f>
        <v>1.10</v>
      </c>
      <c r="J15" t="s">
        <v>359</v>
      </c>
      <c r="K15">
        <f t="shared" si="0"/>
        <v>15</v>
      </c>
      <c r="L15" s="80" t="s">
        <v>357</v>
      </c>
      <c r="M15" s="142" t="s">
        <v>358</v>
      </c>
      <c r="N15" s="83" t="s">
        <v>358</v>
      </c>
      <c r="O15" s="83" t="s">
        <v>358</v>
      </c>
      <c r="P15" s="83" t="s">
        <v>358</v>
      </c>
      <c r="Q15" s="83" t="s">
        <v>358</v>
      </c>
      <c r="R15" s="83" t="s">
        <v>358</v>
      </c>
    </row>
    <row r="16" spans="1:18" x14ac:dyDescent="0.3">
      <c r="D16" s="80" t="s">
        <v>6</v>
      </c>
      <c r="F16" s="134">
        <f>HLOOKUP($F$14,$M$1:$R$23,3)</f>
        <v>4.21</v>
      </c>
      <c r="J16" t="str">
        <f>F25&amp;" has not been provided"</f>
        <v>0 has not been provided</v>
      </c>
      <c r="K16">
        <f t="shared" si="0"/>
        <v>16</v>
      </c>
      <c r="L16" s="80" t="s">
        <v>420</v>
      </c>
      <c r="M16" s="142">
        <v>6</v>
      </c>
      <c r="N16" s="83">
        <v>6</v>
      </c>
      <c r="O16" s="83">
        <v>6</v>
      </c>
      <c r="P16" s="83">
        <v>6</v>
      </c>
      <c r="Q16" s="83">
        <v>6</v>
      </c>
      <c r="R16" s="83">
        <v>6</v>
      </c>
    </row>
    <row r="17" spans="4:19" x14ac:dyDescent="0.3">
      <c r="D17" s="80" t="s">
        <v>7</v>
      </c>
      <c r="F17" s="134">
        <f>HLOOKUP($F$14,$M$1:$R$23,4)</f>
        <v>5.24</v>
      </c>
      <c r="G17" s="84"/>
      <c r="J17" t="s">
        <v>447</v>
      </c>
      <c r="K17">
        <f t="shared" si="0"/>
        <v>17</v>
      </c>
      <c r="L17" s="80" t="s">
        <v>421</v>
      </c>
      <c r="M17" s="142" t="s">
        <v>138</v>
      </c>
      <c r="N17" s="142" t="s">
        <v>138</v>
      </c>
      <c r="O17" s="142" t="s">
        <v>138</v>
      </c>
      <c r="P17" s="142" t="s">
        <v>138</v>
      </c>
      <c r="Q17" s="142" t="s">
        <v>138</v>
      </c>
      <c r="R17" s="142" t="s">
        <v>138</v>
      </c>
    </row>
    <row r="18" spans="4:19" x14ac:dyDescent="0.3">
      <c r="D18" s="80" t="s">
        <v>8</v>
      </c>
      <c r="F18" s="134">
        <f>HLOOKUP($F$14,$M$1:$R$23,5)</f>
        <v>6.17</v>
      </c>
      <c r="J18" t="str">
        <f>"Known flooding:  "&amp;'Form 2D - Design'!AS132&amp;"-yr discharge &gt; "&amp;'Form 2D - Design'!AR132&amp;"-yr discharge"</f>
        <v>Known flooding:  25, 50, and 100-yr discharge &gt; 25-yr discharge</v>
      </c>
      <c r="K18">
        <f t="shared" si="0"/>
        <v>18</v>
      </c>
      <c r="L18" s="80" t="s">
        <v>427</v>
      </c>
      <c r="M18" s="142">
        <v>2</v>
      </c>
      <c r="N18" s="142">
        <v>2</v>
      </c>
      <c r="O18" s="142">
        <v>2</v>
      </c>
      <c r="P18" s="142">
        <v>2</v>
      </c>
      <c r="Q18" s="142">
        <v>25</v>
      </c>
      <c r="R18" s="142">
        <v>25</v>
      </c>
    </row>
    <row r="19" spans="4:19" x14ac:dyDescent="0.3">
      <c r="D19" s="80" t="s">
        <v>9</v>
      </c>
      <c r="F19" s="134">
        <f>HLOOKUP($F$14,$M$1:$R$23,6)</f>
        <v>7.55</v>
      </c>
      <c r="J19" t="str">
        <f>"Drains to adjacent property:  "&amp;'Form 2D - Design'!AS132&amp;"-yr discharge &gt; "&amp;'Form 2D - Design'!AR132&amp;"-yr discharge"</f>
        <v>Drains to adjacent property:  25, 50, and 100-yr discharge &gt; 25-yr discharge</v>
      </c>
      <c r="K19" s="26">
        <f t="shared" si="0"/>
        <v>19</v>
      </c>
      <c r="L19" s="80" t="s">
        <v>475</v>
      </c>
      <c r="M19" s="142" t="str">
        <f t="shared" ref="M19" si="1">VLOOKUP(M18,$K$27:$L$32,2)</f>
        <v>2, 5, 10, 25, 50, and 100</v>
      </c>
      <c r="N19" s="142" t="str">
        <f>VLOOKUP(N18,$K$27:$L$32,2)</f>
        <v>2, 5, 10, 25, 50, and 100</v>
      </c>
      <c r="O19" s="142" t="str">
        <f>VLOOKUP(O18,$K$27:$L$32,2)</f>
        <v>2, 5, 10, 25, 50, and 100</v>
      </c>
      <c r="P19" s="142" t="str">
        <f>VLOOKUP(P18,$K$27:$L$32,2)</f>
        <v>2, 5, 10, 25, 50, and 100</v>
      </c>
      <c r="Q19" s="142" t="str">
        <f>VLOOKUP(Q18,$K$27:$L$32,2)</f>
        <v>25, 50, and 100</v>
      </c>
      <c r="R19" s="142" t="str">
        <f>VLOOKUP(R18,$K$27:$L$32,2)</f>
        <v>25, 50, and 100</v>
      </c>
      <c r="S19" s="26"/>
    </row>
    <row r="20" spans="4:19" x14ac:dyDescent="0.3">
      <c r="D20" s="80" t="s">
        <v>356</v>
      </c>
      <c r="F20" s="134">
        <f>HLOOKUP($F$14,$M$1:$R$23,7)</f>
        <v>8.6999999999999993</v>
      </c>
      <c r="J20" t="s">
        <v>415</v>
      </c>
      <c r="K20" s="26">
        <f t="shared" si="0"/>
        <v>20</v>
      </c>
      <c r="L20" s="80" t="s">
        <v>428</v>
      </c>
      <c r="M20" s="142" t="s">
        <v>138</v>
      </c>
      <c r="N20" s="142" t="s">
        <v>154</v>
      </c>
      <c r="O20" s="142" t="s">
        <v>154</v>
      </c>
      <c r="P20" s="142" t="s">
        <v>154</v>
      </c>
      <c r="Q20" s="142" t="s">
        <v>154</v>
      </c>
      <c r="R20" s="142" t="s">
        <v>154</v>
      </c>
      <c r="S20" s="26"/>
    </row>
    <row r="21" spans="4:19" x14ac:dyDescent="0.3">
      <c r="D21" s="80" t="s">
        <v>10</v>
      </c>
      <c r="F21" s="134">
        <f>HLOOKUP($F$14,$M$1:$R$23,8)</f>
        <v>9.93</v>
      </c>
      <c r="J21" t="s">
        <v>464</v>
      </c>
      <c r="K21" s="26">
        <f t="shared" si="0"/>
        <v>21</v>
      </c>
      <c r="L21" s="80" t="s">
        <v>429</v>
      </c>
      <c r="M21" s="142">
        <v>2</v>
      </c>
      <c r="N21" s="142">
        <v>2</v>
      </c>
      <c r="O21" s="142">
        <v>2</v>
      </c>
      <c r="P21" s="142">
        <v>2</v>
      </c>
      <c r="Q21" s="142">
        <v>25</v>
      </c>
      <c r="R21" s="142">
        <v>25</v>
      </c>
      <c r="S21" s="26"/>
    </row>
    <row r="22" spans="4:19" x14ac:dyDescent="0.3">
      <c r="D22" s="80" t="s">
        <v>286</v>
      </c>
      <c r="F22" s="136" t="str">
        <f>HLOOKUP($F$14,$M$1:$R$23,9)</f>
        <v>1 July 2018</v>
      </c>
      <c r="J22" s="26" t="s">
        <v>484</v>
      </c>
      <c r="K22" s="26">
        <f t="shared" si="0"/>
        <v>22</v>
      </c>
      <c r="L22" s="80" t="s">
        <v>476</v>
      </c>
      <c r="M22" s="142" t="str">
        <f t="shared" ref="M22" si="2">VLOOKUP(M21,$K$27:$L$32,2)</f>
        <v>2, 5, 10, 25, 50, and 100</v>
      </c>
      <c r="N22" s="142" t="str">
        <f>VLOOKUP(N21,$K$27:$L$32,2)</f>
        <v>2, 5, 10, 25, 50, and 100</v>
      </c>
      <c r="O22" s="142" t="str">
        <f>VLOOKUP(O21,$K$27:$L$32,2)</f>
        <v>2, 5, 10, 25, 50, and 100</v>
      </c>
      <c r="P22" s="142" t="str">
        <f>VLOOKUP(P21,$K$27:$L$32,2)</f>
        <v>2, 5, 10, 25, 50, and 100</v>
      </c>
      <c r="Q22" s="142" t="str">
        <f>VLOOKUP(Q21,$K$27:$L$32,2)</f>
        <v>25, 50, and 100</v>
      </c>
      <c r="R22" s="142" t="str">
        <f>VLOOKUP(R21,$K$27:$L$32,2)</f>
        <v>25, 50, and 100</v>
      </c>
      <c r="S22" s="26"/>
    </row>
    <row r="23" spans="4:19" x14ac:dyDescent="0.3">
      <c r="D23" s="80" t="s">
        <v>296</v>
      </c>
      <c r="F23" s="136" t="str">
        <f>HLOOKUP($F$14,$M$1:$R$23,10)</f>
        <v>City</v>
      </c>
      <c r="J23" s="26" t="s">
        <v>485</v>
      </c>
      <c r="K23" s="26">
        <f t="shared" si="0"/>
        <v>23</v>
      </c>
      <c r="L23" s="80" t="s">
        <v>474</v>
      </c>
      <c r="M23" s="142" t="s">
        <v>553</v>
      </c>
      <c r="N23" s="142" t="s">
        <v>554</v>
      </c>
      <c r="O23" s="142" t="s">
        <v>554</v>
      </c>
      <c r="P23" s="142" t="s">
        <v>554</v>
      </c>
      <c r="Q23" s="142" t="s">
        <v>555</v>
      </c>
      <c r="R23" s="142" t="s">
        <v>554</v>
      </c>
      <c r="S23" s="26"/>
    </row>
    <row r="24" spans="4:19" x14ac:dyDescent="0.3">
      <c r="D24" s="80" t="s">
        <v>294</v>
      </c>
      <c r="F24" s="136" t="str">
        <f>HLOOKUP($F$14,$M$1:$R$23,11)</f>
        <v xml:space="preserve"> O&amp;M Agreement</v>
      </c>
      <c r="K24" s="26">
        <v>24</v>
      </c>
      <c r="L24" s="80" t="s">
        <v>523</v>
      </c>
      <c r="M24" s="142" t="s">
        <v>522</v>
      </c>
      <c r="N24" s="142" t="s">
        <v>524</v>
      </c>
      <c r="O24" s="142" t="s">
        <v>525</v>
      </c>
      <c r="P24" s="142" t="s">
        <v>526</v>
      </c>
      <c r="Q24" s="142" t="s">
        <v>527</v>
      </c>
      <c r="R24" s="142" t="s">
        <v>528</v>
      </c>
      <c r="S24" s="26"/>
    </row>
    <row r="25" spans="4:19" x14ac:dyDescent="0.3">
      <c r="D25" s="80" t="s">
        <v>329</v>
      </c>
      <c r="F25" s="83">
        <f>HLOOKUP($F$14,$M$1:$R$23,12)</f>
        <v>0</v>
      </c>
      <c r="K25" s="26"/>
      <c r="L25" s="26"/>
      <c r="M25" s="26"/>
      <c r="N25" s="26"/>
      <c r="O25" s="26"/>
      <c r="P25" s="26"/>
      <c r="Q25" s="26"/>
      <c r="R25" s="26"/>
      <c r="S25" s="26"/>
    </row>
    <row r="26" spans="4:19" x14ac:dyDescent="0.3">
      <c r="D26" s="80" t="s">
        <v>331</v>
      </c>
      <c r="F26" s="134">
        <f>HLOOKUP($F$14,$M$1:$R$23,13)</f>
        <v>6</v>
      </c>
      <c r="K26" s="142" t="s">
        <v>477</v>
      </c>
      <c r="L26" s="142" t="s">
        <v>478</v>
      </c>
      <c r="M26" s="142"/>
      <c r="O26" s="26"/>
      <c r="P26" s="26"/>
      <c r="Q26" s="26"/>
      <c r="R26" s="26"/>
      <c r="S26" s="26"/>
    </row>
    <row r="27" spans="4:19" x14ac:dyDescent="0.3">
      <c r="D27" s="80" t="s">
        <v>344</v>
      </c>
      <c r="F27" s="132" t="str">
        <f>HLOOKUP($F$14,$M$1:$R$23,14)</f>
        <v>1 September</v>
      </c>
      <c r="K27" s="26">
        <v>2</v>
      </c>
      <c r="L27" s="80" t="s">
        <v>358</v>
      </c>
      <c r="M27" s="80"/>
      <c r="O27" s="26"/>
      <c r="P27" s="26"/>
      <c r="Q27" s="26"/>
      <c r="R27" s="26"/>
      <c r="S27" s="26"/>
    </row>
    <row r="28" spans="4:19" x14ac:dyDescent="0.3">
      <c r="D28" s="80" t="s">
        <v>357</v>
      </c>
      <c r="F28" s="132" t="str">
        <f>HLOOKUP($F$14,$M$1:$R$23,15)</f>
        <v>2, 5, 10, 25, 50, and 100</v>
      </c>
      <c r="K28" s="26">
        <v>5</v>
      </c>
      <c r="L28" s="80" t="s">
        <v>480</v>
      </c>
      <c r="M28" s="80"/>
      <c r="O28" s="26"/>
      <c r="P28" s="26"/>
      <c r="Q28" s="26"/>
      <c r="R28" s="26"/>
      <c r="S28" s="26"/>
    </row>
    <row r="29" spans="4:19" x14ac:dyDescent="0.3">
      <c r="D29" s="80" t="s">
        <v>421</v>
      </c>
      <c r="E29" s="116"/>
      <c r="F29" s="132" t="str">
        <f>HLOOKUP($F$14,$M$1:$R$23,17)</f>
        <v>No</v>
      </c>
      <c r="K29" s="26">
        <v>10</v>
      </c>
      <c r="L29" s="80" t="s">
        <v>481</v>
      </c>
      <c r="M29" s="80"/>
      <c r="N29" s="26"/>
      <c r="O29" s="26"/>
      <c r="P29" s="26"/>
      <c r="Q29" s="26"/>
      <c r="R29" s="26"/>
      <c r="S29" s="26"/>
    </row>
    <row r="30" spans="4:19" x14ac:dyDescent="0.3">
      <c r="D30" s="80" t="s">
        <v>427</v>
      </c>
      <c r="E30" s="116"/>
      <c r="F30" s="116">
        <f>HLOOKUP($F$14,$M$1:$R$23,18)</f>
        <v>25</v>
      </c>
      <c r="K30" s="26">
        <v>25</v>
      </c>
      <c r="L30" s="80" t="s">
        <v>482</v>
      </c>
      <c r="M30" s="80"/>
      <c r="N30" s="26"/>
      <c r="O30" s="26"/>
      <c r="P30" s="26"/>
      <c r="Q30" s="26"/>
      <c r="R30" s="26"/>
      <c r="S30" s="26"/>
    </row>
    <row r="31" spans="4:19" x14ac:dyDescent="0.3">
      <c r="D31" s="80" t="s">
        <v>475</v>
      </c>
      <c r="E31" s="116"/>
      <c r="F31" s="116" t="str">
        <f>HLOOKUP($F$14,$M$1:$R$23,19)</f>
        <v>25, 50, and 100</v>
      </c>
      <c r="K31" s="26">
        <v>50</v>
      </c>
      <c r="L31" s="80" t="s">
        <v>483</v>
      </c>
      <c r="M31" s="80"/>
      <c r="N31" s="26"/>
      <c r="O31" s="26"/>
      <c r="P31" s="26"/>
      <c r="Q31" s="26"/>
      <c r="R31" s="26"/>
      <c r="S31" s="26"/>
    </row>
    <row r="32" spans="4:19" x14ac:dyDescent="0.3">
      <c r="D32" s="80" t="s">
        <v>428</v>
      </c>
      <c r="E32" s="116"/>
      <c r="F32" s="132" t="str">
        <f>HLOOKUP($F$14,$M$1:$R$23,20)</f>
        <v>Yes</v>
      </c>
      <c r="K32" s="26">
        <v>100</v>
      </c>
      <c r="L32" s="80">
        <v>100</v>
      </c>
      <c r="M32" s="80"/>
      <c r="N32" s="26"/>
      <c r="O32" s="26"/>
      <c r="P32" s="26"/>
      <c r="Q32" s="26"/>
      <c r="R32" s="26"/>
      <c r="S32" s="26"/>
    </row>
    <row r="33" spans="4:19" x14ac:dyDescent="0.3">
      <c r="D33" s="80" t="s">
        <v>429</v>
      </c>
      <c r="E33" s="116"/>
      <c r="F33" s="116">
        <f>HLOOKUP($F$14,$M$1:$R$23,21)</f>
        <v>25</v>
      </c>
      <c r="N33" s="26"/>
      <c r="O33" s="26"/>
      <c r="P33" s="26"/>
      <c r="Q33" s="26"/>
      <c r="R33" s="26"/>
      <c r="S33" s="26"/>
    </row>
    <row r="34" spans="4:19" x14ac:dyDescent="0.3">
      <c r="D34" s="80" t="s">
        <v>476</v>
      </c>
      <c r="E34" s="116"/>
      <c r="F34" s="116" t="str">
        <f>HLOOKUP($F$14,$M$1:$R$23,22)</f>
        <v>25, 50, and 100</v>
      </c>
      <c r="K34" s="26"/>
      <c r="L34" s="80"/>
      <c r="M34" s="80"/>
      <c r="N34" s="26"/>
      <c r="O34" s="26"/>
      <c r="P34" s="26"/>
      <c r="Q34" s="26"/>
      <c r="R34" s="26"/>
      <c r="S34" s="26"/>
    </row>
    <row r="35" spans="4:19" x14ac:dyDescent="0.3">
      <c r="D35" s="80" t="s">
        <v>498</v>
      </c>
      <c r="E35" s="146"/>
      <c r="F35" s="146">
        <f>MIN(F30,F33)</f>
        <v>25</v>
      </c>
      <c r="K35" s="26"/>
      <c r="L35" s="142" t="s">
        <v>479</v>
      </c>
      <c r="M35" s="80"/>
      <c r="N35" s="26"/>
      <c r="O35" s="26"/>
      <c r="P35" s="26"/>
      <c r="Q35" s="26"/>
      <c r="R35" s="26"/>
      <c r="S35" s="26"/>
    </row>
    <row r="36" spans="4:19" x14ac:dyDescent="0.3">
      <c r="D36" s="80" t="s">
        <v>499</v>
      </c>
      <c r="E36" s="146"/>
      <c r="F36" s="142" t="str">
        <f>VLOOKUP(F35,$K$27:$L$32,2)</f>
        <v>25, 50, and 100</v>
      </c>
      <c r="K36" s="26"/>
      <c r="L36" s="142" t="s">
        <v>154</v>
      </c>
      <c r="M36" s="80"/>
      <c r="N36" s="26"/>
      <c r="O36" s="26"/>
      <c r="P36" s="26"/>
      <c r="Q36" s="26"/>
      <c r="R36" s="26"/>
      <c r="S36" s="26"/>
    </row>
    <row r="37" spans="4:19" x14ac:dyDescent="0.3">
      <c r="D37" s="85" t="s">
        <v>474</v>
      </c>
      <c r="F37" s="116" t="str">
        <f>HLOOKUP($F$14,$M$1:$R$23,23)</f>
        <v>a Release Agreement</v>
      </c>
      <c r="L37" s="142" t="s">
        <v>138</v>
      </c>
    </row>
    <row r="38" spans="4:19" x14ac:dyDescent="0.3">
      <c r="D38" s="85" t="s">
        <v>523</v>
      </c>
      <c r="F38" s="116" t="str">
        <f>HLOOKUP($F$14,$M$1:$R$24,24)</f>
        <v>the City of Prattville</v>
      </c>
    </row>
    <row r="39" spans="4:19" x14ac:dyDescent="0.3">
      <c r="H39" s="101" t="s">
        <v>324</v>
      </c>
    </row>
    <row r="40" spans="4:19" ht="64.95" customHeight="1" x14ac:dyDescent="0.3">
      <c r="D40" s="26"/>
      <c r="E40" s="163" t="s">
        <v>522</v>
      </c>
      <c r="F40" s="26"/>
    </row>
    <row r="41" spans="4:19" ht="64.95" customHeight="1" x14ac:dyDescent="0.3">
      <c r="E41" s="80" t="s">
        <v>149</v>
      </c>
    </row>
    <row r="42" spans="4:19" ht="64.95" customHeight="1" x14ac:dyDescent="0.3">
      <c r="E42" s="80" t="s">
        <v>283</v>
      </c>
    </row>
    <row r="43" spans="4:19" ht="64.95" customHeight="1" x14ac:dyDescent="0.3">
      <c r="E43" s="80" t="s">
        <v>151</v>
      </c>
    </row>
    <row r="44" spans="4:19" ht="64.95" customHeight="1" x14ac:dyDescent="0.3">
      <c r="E44" s="80" t="s">
        <v>148</v>
      </c>
    </row>
    <row r="45" spans="4:19" ht="64.95" customHeight="1" x14ac:dyDescent="0.3">
      <c r="E45" s="80" t="s">
        <v>150</v>
      </c>
    </row>
  </sheetData>
  <mergeCells count="1">
    <mergeCell ref="A1:B1"/>
  </mergeCells>
  <dataValidations count="3">
    <dataValidation type="list" allowBlank="1" showInputMessage="1" showErrorMessage="1" sqref="F14" xr:uid="{72F3BB5F-638F-49B0-81F5-3EA65ED35E7A}">
      <formula1>$M1:$R$1</formula1>
    </dataValidation>
    <dataValidation type="list" allowBlank="1" showInputMessage="1" showErrorMessage="1" sqref="M18:R18 M21:R21" xr:uid="{62D622BB-2C47-4082-A0B7-AB881E2DBE24}">
      <formula1>$K$27:$K$32</formula1>
    </dataValidation>
    <dataValidation type="list" allowBlank="1" showInputMessage="1" showErrorMessage="1" sqref="M17:R17 M20:R20" xr:uid="{2B22AD2C-3136-4E0A-9203-72ADE789A2D1}">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Z57"/>
  <sheetViews>
    <sheetView showGridLines="0" showRowColHeaders="0" tabSelected="1" zoomScale="130" zoomScaleNormal="130" workbookViewId="0">
      <pane xSplit="1" ySplit="3" topLeftCell="B5" activePane="bottomRight" state="frozen"/>
      <selection pane="topRight" activeCell="B1" sqref="B1"/>
      <selection pane="bottomLeft" activeCell="A4" sqref="A4"/>
      <selection pane="bottomRight" activeCell="F2" sqref="F2"/>
    </sheetView>
  </sheetViews>
  <sheetFormatPr defaultColWidth="0" defaultRowHeight="19.95" customHeight="1" zeroHeight="1" x14ac:dyDescent="0.3"/>
  <cols>
    <col min="1" max="1" width="8.88671875" style="149" hidden="1" customWidth="1"/>
    <col min="2" max="2" width="4.77734375" style="13" customWidth="1"/>
    <col min="3" max="3" width="5.77734375" style="12" customWidth="1"/>
    <col min="4" max="4" width="24.77734375" style="13" customWidth="1"/>
    <col min="5" max="5" width="8.88671875" style="13" customWidth="1"/>
    <col min="6" max="6" width="20.77734375" style="13" customWidth="1"/>
    <col min="7" max="15" width="8.88671875" style="13" customWidth="1"/>
    <col min="16" max="19" width="8.88671875" customWidth="1"/>
    <col min="20" max="20" width="8.88671875" style="13" customWidth="1"/>
    <col min="21" max="24" width="0" style="13" hidden="1" customWidth="1"/>
    <col min="25" max="25" width="8.88671875" style="13" hidden="1" customWidth="1"/>
    <col min="26" max="26" width="0" style="13" hidden="1" customWidth="1"/>
    <col min="27" max="16384" width="8.88671875" style="13" hidden="1"/>
  </cols>
  <sheetData>
    <row r="1" spans="1:19" ht="19.95" customHeight="1" x14ac:dyDescent="0.3">
      <c r="C1" s="50" t="s">
        <v>583</v>
      </c>
      <c r="N1" s="148" t="s">
        <v>504</v>
      </c>
      <c r="O1" s="174">
        <f>Tables!F13</f>
        <v>45931</v>
      </c>
      <c r="P1" s="174"/>
      <c r="Q1" s="167"/>
      <c r="R1" s="167"/>
      <c r="S1" s="167"/>
    </row>
    <row r="2" spans="1:19" ht="19.95" customHeight="1" x14ac:dyDescent="0.3">
      <c r="A2" s="151">
        <f>IF(OR(F2="I ACCEPT",F2="I DO NOT ACCEPT"),1,2)</f>
        <v>2</v>
      </c>
      <c r="E2" s="148" t="s">
        <v>505</v>
      </c>
      <c r="F2" s="150" t="s">
        <v>520</v>
      </c>
      <c r="N2" s="148" t="s">
        <v>507</v>
      </c>
      <c r="O2" s="174">
        <f>Tables!B6</f>
        <v>46296</v>
      </c>
      <c r="P2" s="174"/>
      <c r="Q2" s="167"/>
      <c r="R2" s="167"/>
      <c r="S2" s="167"/>
    </row>
    <row r="3" spans="1:19" ht="19.95" customHeight="1" x14ac:dyDescent="0.3">
      <c r="A3" s="151">
        <f ca="1">IF(F3="Workbook is Locked and Unavailable",2,1)</f>
        <v>2</v>
      </c>
      <c r="E3" s="148" t="s">
        <v>508</v>
      </c>
      <c r="F3" s="175" t="str">
        <f ca="1">IF(Tables!$B$8,"Workbook is Active","Workbook is Locked and Unavailable")</f>
        <v>Workbook is Locked and Unavailable</v>
      </c>
      <c r="G3" s="175"/>
      <c r="H3" s="175"/>
    </row>
    <row r="4" spans="1:19" ht="19.95" hidden="1" customHeight="1" x14ac:dyDescent="0.3">
      <c r="B4" s="149"/>
      <c r="C4" s="153"/>
      <c r="D4" s="149"/>
      <c r="E4" s="100" t="s">
        <v>510</v>
      </c>
      <c r="F4" s="95"/>
      <c r="G4" s="149"/>
      <c r="H4" s="149"/>
      <c r="I4" s="149"/>
      <c r="J4" s="149"/>
      <c r="K4" s="149"/>
      <c r="L4" s="149"/>
      <c r="M4" s="149"/>
      <c r="N4" s="149"/>
      <c r="O4" s="149"/>
    </row>
    <row r="5" spans="1:19" ht="19.95" customHeight="1" x14ac:dyDescent="0.3">
      <c r="E5" s="148"/>
    </row>
    <row r="6" spans="1:19" ht="19.95" customHeight="1" x14ac:dyDescent="0.3">
      <c r="D6" s="168"/>
      <c r="E6" s="168" t="s">
        <v>509</v>
      </c>
      <c r="F6" s="13" t="s">
        <v>559</v>
      </c>
    </row>
    <row r="7" spans="1:19" ht="19.95" customHeight="1" x14ac:dyDescent="0.3">
      <c r="D7" s="168"/>
      <c r="E7" s="169"/>
      <c r="F7" s="13" t="str">
        <f>"By clicking I ACCEPT above, you represent that you are (a) preparing a post-construction submittal for "&amp;Tables!$F$38&amp;" and/or"</f>
        <v>By clicking I ACCEPT above, you represent that you are (a) preparing a post-construction submittal for the City of Prattville and/or</v>
      </c>
    </row>
    <row r="8" spans="1:19" ht="19.95" customHeight="1" x14ac:dyDescent="0.3">
      <c r="D8" s="168"/>
      <c r="E8" s="169"/>
      <c r="F8" s="13" t="s">
        <v>561</v>
      </c>
    </row>
    <row r="9" spans="1:19" ht="19.95" customHeight="1" x14ac:dyDescent="0.3">
      <c r="D9" s="168"/>
      <c r="E9" s="169"/>
      <c r="F9" s="13" t="s">
        <v>560</v>
      </c>
    </row>
    <row r="10" spans="1:19" ht="19.95" customHeight="1" x14ac:dyDescent="0.3">
      <c r="D10" s="168"/>
      <c r="E10" s="169"/>
    </row>
    <row r="11" spans="1:19" ht="19.95" customHeight="1" x14ac:dyDescent="0.3">
      <c r="D11" s="168">
        <v>1</v>
      </c>
      <c r="E11" s="5" t="s">
        <v>562</v>
      </c>
    </row>
    <row r="12" spans="1:19" ht="19.95" customHeight="1" x14ac:dyDescent="0.3">
      <c r="A12" s="152"/>
      <c r="D12" s="168"/>
      <c r="E12" s="169"/>
      <c r="F12" s="13" t="s">
        <v>529</v>
      </c>
    </row>
    <row r="13" spans="1:19" ht="19.95" customHeight="1" x14ac:dyDescent="0.3">
      <c r="D13" s="168"/>
      <c r="E13" s="169"/>
      <c r="F13" s="13" t="str">
        <f>"and submit post-construction application materials to "&amp;Tables!$F$38&amp;" and for the User's internal recordkeeping for those"</f>
        <v>and submit post-construction application materials to the City of Prattville and for the User's internal recordkeeping for those</v>
      </c>
    </row>
    <row r="14" spans="1:19" ht="19.95" customHeight="1" x14ac:dyDescent="0.3">
      <c r="D14" s="168"/>
      <c r="E14" s="169"/>
      <c r="F14" s="13" t="s">
        <v>530</v>
      </c>
    </row>
    <row r="15" spans="1:19" ht="19.95" customHeight="1" x14ac:dyDescent="0.3">
      <c r="D15" s="168"/>
      <c r="E15" s="169"/>
      <c r="F15" s="13" t="s">
        <v>563</v>
      </c>
    </row>
    <row r="16" spans="1:19" ht="19.95" customHeight="1" x14ac:dyDescent="0.3">
      <c r="D16" s="168">
        <v>2</v>
      </c>
      <c r="E16" s="5" t="s">
        <v>531</v>
      </c>
    </row>
    <row r="17" spans="4:6" ht="19.95" customHeight="1" x14ac:dyDescent="0.3">
      <c r="D17" s="168"/>
      <c r="E17" s="169"/>
      <c r="F17" s="13" t="s">
        <v>532</v>
      </c>
    </row>
    <row r="18" spans="4:6" ht="19.95" customHeight="1" x14ac:dyDescent="0.3">
      <c r="D18" s="168"/>
      <c r="E18" s="169"/>
      <c r="F18" s="13" t="s">
        <v>533</v>
      </c>
    </row>
    <row r="19" spans="4:6" ht="19.95" customHeight="1" x14ac:dyDescent="0.3">
      <c r="D19" s="168">
        <v>3</v>
      </c>
      <c r="E19" s="169" t="s">
        <v>534</v>
      </c>
    </row>
    <row r="20" spans="4:6" ht="19.95" customHeight="1" x14ac:dyDescent="0.3">
      <c r="D20" s="168"/>
      <c r="E20" s="169"/>
      <c r="F20" s="13" t="s">
        <v>544</v>
      </c>
    </row>
    <row r="21" spans="4:6" ht="19.95" customHeight="1" x14ac:dyDescent="0.3">
      <c r="D21" s="168"/>
      <c r="E21" s="169"/>
      <c r="F21" s="13" t="s">
        <v>564</v>
      </c>
    </row>
    <row r="22" spans="4:6" ht="19.95" customHeight="1" x14ac:dyDescent="0.3">
      <c r="D22" s="168"/>
      <c r="E22" s="169"/>
      <c r="F22" s="13" t="str">
        <f>"forms to the "&amp;Tables!$F$23&amp;" as intended.  The "&amp;Tables!$F$23&amp;" may host and distribute the unmodified Tool to prospective submitters for"</f>
        <v>forms to the City as intended.  The City may host and distribute the unmodified Tool to prospective submitters for</v>
      </c>
    </row>
    <row r="23" spans="4:6" ht="19.95" customHeight="1" x14ac:dyDescent="0.3">
      <c r="D23" s="168"/>
      <c r="E23" s="169"/>
      <c r="F23" s="13" t="s">
        <v>565</v>
      </c>
    </row>
    <row r="24" spans="4:6" ht="19.95" customHeight="1" x14ac:dyDescent="0.3">
      <c r="D24" s="168">
        <v>4</v>
      </c>
      <c r="E24" s="169" t="s">
        <v>535</v>
      </c>
    </row>
    <row r="25" spans="4:6" ht="19.95" customHeight="1" x14ac:dyDescent="0.3">
      <c r="D25" s="168"/>
      <c r="E25" s="169"/>
      <c r="F25" s="13" t="s">
        <v>545</v>
      </c>
    </row>
    <row r="26" spans="4:6" ht="19.95" customHeight="1" x14ac:dyDescent="0.3">
      <c r="D26" s="168"/>
      <c r="E26" s="169"/>
      <c r="F26" s="13" t="s">
        <v>566</v>
      </c>
    </row>
    <row r="27" spans="4:6" ht="19.95" customHeight="1" x14ac:dyDescent="0.3">
      <c r="D27" s="168"/>
      <c r="E27" s="169"/>
      <c r="F27" s="13" t="s">
        <v>567</v>
      </c>
    </row>
    <row r="28" spans="4:6" ht="19.95" customHeight="1" x14ac:dyDescent="0.3">
      <c r="D28" s="168">
        <v>5</v>
      </c>
      <c r="E28" s="169" t="s">
        <v>536</v>
      </c>
    </row>
    <row r="29" spans="4:6" ht="19.95" customHeight="1" x14ac:dyDescent="0.3">
      <c r="D29" s="168"/>
      <c r="E29" s="169"/>
      <c r="F29" s="13" t="str">
        <f>"Outputs and application materials generated with the Tool may be public records of "&amp;Tables!$F$38&amp;"; the Tool itself"</f>
        <v>Outputs and application materials generated with the Tool may be public records of the City of Prattville; the Tool itself</v>
      </c>
    </row>
    <row r="30" spans="4:6" ht="19.95" customHeight="1" x14ac:dyDescent="0.3">
      <c r="D30" s="168"/>
      <c r="E30" s="169"/>
      <c r="F30" s="13" t="s">
        <v>568</v>
      </c>
    </row>
    <row r="31" spans="4:6" ht="19.95" customHeight="1" x14ac:dyDescent="0.3">
      <c r="D31" s="168">
        <v>6</v>
      </c>
      <c r="E31" s="169" t="s">
        <v>569</v>
      </c>
    </row>
    <row r="32" spans="4:6" ht="19.95" customHeight="1" x14ac:dyDescent="0.3">
      <c r="D32" s="168"/>
      <c r="E32" s="169"/>
      <c r="F32" s="13" t="str">
        <f>"The Tool is a convenience aid and does not constitute engineering, legal or compliance advice. The "&amp;Tables!$F$38&amp;"'s standards and"</f>
        <v>The Tool is a convenience aid and does not constitute engineering, legal or compliance advice. The the City of Prattville's standards and</v>
      </c>
    </row>
    <row r="33" spans="4:6" ht="19.95" customHeight="1" x14ac:dyDescent="0.3">
      <c r="D33" s="168"/>
      <c r="E33" s="169"/>
      <c r="F33" s="13" t="s">
        <v>570</v>
      </c>
    </row>
    <row r="34" spans="4:6" ht="19.95" customHeight="1" x14ac:dyDescent="0.3">
      <c r="D34" s="168">
        <v>7</v>
      </c>
      <c r="E34" s="169" t="s">
        <v>537</v>
      </c>
    </row>
    <row r="35" spans="4:6" ht="19.95" customHeight="1" x14ac:dyDescent="0.3">
      <c r="D35" s="168"/>
      <c r="E35" s="169"/>
      <c r="F35" s="13" t="s">
        <v>546</v>
      </c>
    </row>
    <row r="36" spans="4:6" ht="19.95" customHeight="1" x14ac:dyDescent="0.3">
      <c r="D36" s="168"/>
      <c r="E36" s="169"/>
      <c r="F36" s="13" t="s">
        <v>571</v>
      </c>
    </row>
    <row r="37" spans="4:6" ht="19.95" customHeight="1" x14ac:dyDescent="0.3">
      <c r="D37" s="168"/>
      <c r="E37" s="169"/>
      <c r="F37" s="13" t="s">
        <v>547</v>
      </c>
    </row>
    <row r="38" spans="4:6" ht="19.95" customHeight="1" x14ac:dyDescent="0.3">
      <c r="D38" s="168">
        <v>8</v>
      </c>
      <c r="E38" s="169" t="s">
        <v>538</v>
      </c>
    </row>
    <row r="39" spans="4:6" ht="19.95" customHeight="1" x14ac:dyDescent="0.3">
      <c r="D39" s="168"/>
      <c r="E39" s="169"/>
      <c r="F39" s="13" t="s">
        <v>539</v>
      </c>
    </row>
    <row r="40" spans="4:6" ht="19.95" customHeight="1" x14ac:dyDescent="0.3">
      <c r="D40" s="168"/>
      <c r="E40" s="169"/>
      <c r="F40" s="13" t="s">
        <v>540</v>
      </c>
    </row>
    <row r="41" spans="4:6" ht="19.95" customHeight="1" x14ac:dyDescent="0.3">
      <c r="D41" s="168">
        <v>9</v>
      </c>
      <c r="E41" s="169" t="s">
        <v>572</v>
      </c>
    </row>
    <row r="42" spans="4:6" ht="19.95" customHeight="1" x14ac:dyDescent="0.3">
      <c r="D42" s="168"/>
      <c r="E42" s="169"/>
      <c r="F42" s="13" t="s">
        <v>573</v>
      </c>
    </row>
    <row r="43" spans="4:6" ht="19.95" customHeight="1" x14ac:dyDescent="0.3">
      <c r="D43" s="168">
        <v>10</v>
      </c>
      <c r="E43" s="169" t="s">
        <v>574</v>
      </c>
    </row>
    <row r="44" spans="4:6" ht="19.95" customHeight="1" x14ac:dyDescent="0.3">
      <c r="D44" s="168"/>
      <c r="E44" s="169"/>
      <c r="F44" s="13" t="s">
        <v>575</v>
      </c>
    </row>
    <row r="45" spans="4:6" ht="19.95" customHeight="1" x14ac:dyDescent="0.3">
      <c r="D45" s="168"/>
      <c r="E45" s="169"/>
      <c r="F45" s="13" t="s">
        <v>576</v>
      </c>
    </row>
    <row r="46" spans="4:6" ht="19.95" customHeight="1" x14ac:dyDescent="0.3">
      <c r="D46" s="168">
        <v>11</v>
      </c>
      <c r="E46" s="169" t="s">
        <v>577</v>
      </c>
    </row>
    <row r="47" spans="4:6" ht="19.95" customHeight="1" x14ac:dyDescent="0.3">
      <c r="D47" s="168"/>
      <c r="E47" s="169"/>
      <c r="F47" s="13" t="s">
        <v>578</v>
      </c>
    </row>
    <row r="48" spans="4:6" ht="19.95" customHeight="1" x14ac:dyDescent="0.3">
      <c r="D48" s="168"/>
      <c r="E48" s="169"/>
      <c r="F48" s="13" t="s">
        <v>579</v>
      </c>
    </row>
    <row r="49" spans="4:6" ht="19.95" customHeight="1" x14ac:dyDescent="0.3">
      <c r="D49" s="168"/>
      <c r="E49" s="169"/>
      <c r="F49" s="13" t="s">
        <v>580</v>
      </c>
    </row>
    <row r="50" spans="4:6" ht="19.95" customHeight="1" x14ac:dyDescent="0.3">
      <c r="D50" s="168"/>
      <c r="E50" s="169"/>
      <c r="F50" s="13" t="s">
        <v>581</v>
      </c>
    </row>
    <row r="51" spans="4:6" ht="19.95" customHeight="1" x14ac:dyDescent="0.3">
      <c r="D51" s="168">
        <v>12</v>
      </c>
      <c r="E51" s="169" t="s">
        <v>541</v>
      </c>
    </row>
    <row r="52" spans="4:6" ht="19.95" customHeight="1" x14ac:dyDescent="0.3">
      <c r="D52" s="168"/>
      <c r="E52" s="169"/>
      <c r="F52" s="13" t="s">
        <v>582</v>
      </c>
    </row>
    <row r="53" spans="4:6" ht="19.95" customHeight="1" x14ac:dyDescent="0.3">
      <c r="D53" s="168"/>
      <c r="E53" s="169"/>
    </row>
    <row r="54" spans="4:6" ht="19.95" customHeight="1" x14ac:dyDescent="0.3">
      <c r="D54" s="168"/>
      <c r="E54" s="169"/>
    </row>
    <row r="55" spans="4:6" ht="19.95" customHeight="1" x14ac:dyDescent="0.3">
      <c r="D55" s="168"/>
      <c r="E55" s="169"/>
    </row>
    <row r="56" spans="4:6" ht="19.95" hidden="1" customHeight="1" x14ac:dyDescent="0.3">
      <c r="D56" s="168"/>
      <c r="E56" s="169"/>
    </row>
    <row r="57" spans="4:6" ht="19.95" hidden="1" customHeight="1" x14ac:dyDescent="0.3">
      <c r="D57" s="168"/>
      <c r="E57" s="169"/>
    </row>
  </sheetData>
  <sheetProtection algorithmName="SHA-512" hashValue="ztVzqLQEmGwTcV54xVTxbA+WmmuU+aF97TRoL5cJdpjBskiLDfIuzz8KWpkcbQP1NNkzDTHRt7fog5oBVMVTyA==" saltValue="0uskimtpjhmTXAqPn5uXfQ==" spinCount="100000" sheet="1" objects="1" scenarios="1" selectLockedCells="1"/>
  <mergeCells count="3">
    <mergeCell ref="O1:P1"/>
    <mergeCell ref="O2:P2"/>
    <mergeCell ref="F3:H3"/>
  </mergeCells>
  <conditionalFormatting sqref="F2">
    <cfRule type="expression" dxfId="336" priority="1304">
      <formula>$A$2=2</formula>
    </cfRule>
  </conditionalFormatting>
  <conditionalFormatting sqref="F3:H3">
    <cfRule type="expression" dxfId="335" priority="1305">
      <formula>$A$3=2</formula>
    </cfRule>
    <cfRule type="expression" dxfId="334" priority="1306">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163EC9-8E15-4351-BF68-23069E87D721}">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C0FD-E68A-445D-ABEC-28F1BF35ED1D}">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3" customWidth="1"/>
    <col min="2" max="2" width="5.77734375" style="12" customWidth="1"/>
    <col min="3" max="8" width="2.77734375" style="13" customWidth="1"/>
    <col min="9" max="10" width="8.88671875" style="13" customWidth="1"/>
    <col min="11" max="11" width="20.77734375" style="13" customWidth="1"/>
    <col min="12" max="21" width="8.88671875" style="13" customWidth="1"/>
    <col min="22" max="22" width="0" style="13" hidden="1" customWidth="1"/>
    <col min="23" max="16384" width="8.88671875" style="13" hidden="1"/>
  </cols>
  <sheetData>
    <row r="1" spans="2:17" ht="19.95" customHeight="1" x14ac:dyDescent="0.3"/>
    <row r="2" spans="2:17" ht="19.95" customHeight="1" x14ac:dyDescent="0.3">
      <c r="B2" s="50" t="s">
        <v>65</v>
      </c>
    </row>
    <row r="3" spans="2:17" ht="4.95" customHeight="1" x14ac:dyDescent="0.3">
      <c r="B3" s="50"/>
    </row>
    <row r="4" spans="2:17" ht="19.95" customHeight="1" x14ac:dyDescent="0.3">
      <c r="B4" s="12">
        <v>1</v>
      </c>
      <c r="C4" s="177" t="s">
        <v>337</v>
      </c>
      <c r="D4" s="177"/>
      <c r="E4" s="177"/>
      <c r="F4" s="177"/>
      <c r="G4" s="177"/>
      <c r="H4" s="177"/>
      <c r="I4" s="177"/>
      <c r="J4" s="177"/>
      <c r="K4" s="177"/>
      <c r="L4" s="177"/>
      <c r="M4" s="177"/>
      <c r="N4" s="177"/>
      <c r="O4" s="177"/>
      <c r="P4" s="177"/>
      <c r="Q4" s="177"/>
    </row>
    <row r="5" spans="2:17" ht="19.95" customHeight="1" x14ac:dyDescent="0.3">
      <c r="C5" s="177"/>
      <c r="D5" s="177"/>
      <c r="E5" s="177"/>
      <c r="F5" s="177"/>
      <c r="G5" s="177"/>
      <c r="H5" s="177"/>
      <c r="I5" s="177"/>
      <c r="J5" s="177"/>
      <c r="K5" s="177"/>
      <c r="L5" s="177"/>
      <c r="M5" s="177"/>
      <c r="N5" s="177"/>
      <c r="O5" s="177"/>
      <c r="P5" s="177"/>
      <c r="Q5" s="177"/>
    </row>
    <row r="6" spans="2:17" ht="19.95" customHeight="1" x14ac:dyDescent="0.3">
      <c r="B6" s="12">
        <f>B4+1</f>
        <v>2</v>
      </c>
      <c r="C6" s="13" t="s">
        <v>67</v>
      </c>
    </row>
    <row r="7" spans="2:17" ht="19.95" customHeight="1" x14ac:dyDescent="0.3">
      <c r="C7" s="14"/>
      <c r="D7" s="14"/>
      <c r="E7" s="14"/>
      <c r="F7" s="14"/>
      <c r="I7" s="13" t="s">
        <v>64</v>
      </c>
    </row>
    <row r="8" spans="2:17" ht="10.050000000000001" customHeight="1" x14ac:dyDescent="0.3"/>
    <row r="9" spans="2:17" ht="15" customHeight="1" x14ac:dyDescent="0.3">
      <c r="C9" s="15"/>
      <c r="D9" s="15"/>
      <c r="E9" s="15"/>
      <c r="F9" s="15"/>
      <c r="I9" s="176" t="s">
        <v>325</v>
      </c>
      <c r="J9" s="176"/>
      <c r="K9" s="176"/>
      <c r="L9" s="176"/>
      <c r="M9" s="176"/>
      <c r="N9" s="176"/>
      <c r="O9" s="176"/>
      <c r="P9" s="176"/>
      <c r="Q9" s="176"/>
    </row>
    <row r="10" spans="2:17" ht="15" customHeight="1" x14ac:dyDescent="0.3">
      <c r="I10" s="176"/>
      <c r="J10" s="176"/>
      <c r="K10" s="176"/>
      <c r="L10" s="176"/>
      <c r="M10" s="176"/>
      <c r="N10" s="176"/>
      <c r="O10" s="176"/>
      <c r="P10" s="176"/>
      <c r="Q10" s="176"/>
    </row>
    <row r="11" spans="2:17" ht="10.050000000000001" customHeight="1" x14ac:dyDescent="0.3">
      <c r="I11" s="52"/>
      <c r="J11" s="52"/>
      <c r="K11" s="52"/>
      <c r="L11" s="52"/>
      <c r="M11" s="52"/>
      <c r="N11" s="52"/>
      <c r="O11" s="52"/>
      <c r="P11" s="52"/>
      <c r="Q11" s="52"/>
    </row>
    <row r="12" spans="2:17" ht="15" customHeight="1" x14ac:dyDescent="0.3">
      <c r="F12" s="19"/>
      <c r="I12" s="176" t="s">
        <v>211</v>
      </c>
      <c r="J12" s="176"/>
      <c r="K12" s="176"/>
      <c r="L12" s="176"/>
      <c r="M12" s="176"/>
      <c r="N12" s="176"/>
      <c r="O12" s="176"/>
      <c r="P12" s="176"/>
      <c r="Q12" s="176"/>
    </row>
    <row r="13" spans="2:17" ht="15" customHeight="1" x14ac:dyDescent="0.3">
      <c r="I13" s="176"/>
      <c r="J13" s="176"/>
      <c r="K13" s="176"/>
      <c r="L13" s="176"/>
      <c r="M13" s="176"/>
      <c r="N13" s="176"/>
      <c r="O13" s="176"/>
      <c r="P13" s="176"/>
      <c r="Q13" s="176"/>
    </row>
    <row r="14" spans="2:17" ht="15" customHeight="1" x14ac:dyDescent="0.3">
      <c r="I14" s="176"/>
      <c r="J14" s="176"/>
      <c r="K14" s="176"/>
      <c r="L14" s="176"/>
      <c r="M14" s="176"/>
      <c r="N14" s="176"/>
      <c r="O14" s="176"/>
      <c r="P14" s="176"/>
      <c r="Q14" s="176"/>
    </row>
    <row r="15" spans="2:17" ht="15" customHeight="1" x14ac:dyDescent="0.3">
      <c r="I15" s="176"/>
      <c r="J15" s="176"/>
      <c r="K15" s="176"/>
      <c r="L15" s="176"/>
      <c r="M15" s="176"/>
      <c r="N15" s="176"/>
      <c r="O15" s="176"/>
      <c r="P15" s="176"/>
      <c r="Q15" s="176"/>
    </row>
    <row r="16" spans="2:17" ht="10.050000000000001" customHeight="1" x14ac:dyDescent="0.3">
      <c r="I16" s="53"/>
      <c r="J16" s="53"/>
      <c r="K16" s="53"/>
      <c r="L16" s="53"/>
      <c r="M16" s="53"/>
      <c r="N16" s="53"/>
      <c r="O16" s="53"/>
      <c r="P16" s="53"/>
      <c r="Q16" s="53"/>
    </row>
    <row r="17" spans="3:17" ht="15" customHeight="1" x14ac:dyDescent="0.3">
      <c r="C17" s="19"/>
      <c r="D17" s="27" t="s">
        <v>120</v>
      </c>
      <c r="E17" s="27"/>
      <c r="F17" s="19"/>
      <c r="G17" s="27" t="s">
        <v>121</v>
      </c>
      <c r="I17" s="176" t="s">
        <v>180</v>
      </c>
      <c r="J17" s="176"/>
      <c r="K17" s="176"/>
      <c r="L17" s="176"/>
      <c r="M17" s="176"/>
      <c r="N17" s="176"/>
      <c r="O17" s="176"/>
      <c r="P17" s="176"/>
      <c r="Q17" s="176"/>
    </row>
    <row r="18" spans="3:17" ht="15" customHeight="1" x14ac:dyDescent="0.3">
      <c r="I18" s="176"/>
      <c r="J18" s="176"/>
      <c r="K18" s="176"/>
      <c r="L18" s="176"/>
      <c r="M18" s="176"/>
      <c r="N18" s="176"/>
      <c r="O18" s="176"/>
      <c r="P18" s="176"/>
      <c r="Q18" s="176"/>
    </row>
    <row r="19" spans="3:17" ht="10.050000000000001" customHeight="1" x14ac:dyDescent="0.3"/>
    <row r="20" spans="3:17" ht="15" customHeight="1" x14ac:dyDescent="0.3">
      <c r="C20" s="16"/>
      <c r="D20" s="16"/>
      <c r="E20" s="16"/>
      <c r="F20" s="16"/>
      <c r="I20" s="176" t="s">
        <v>66</v>
      </c>
      <c r="J20" s="176"/>
      <c r="K20" s="176"/>
      <c r="L20" s="176"/>
      <c r="M20" s="176"/>
      <c r="N20" s="176"/>
      <c r="O20" s="176"/>
      <c r="P20" s="176"/>
      <c r="Q20" s="176"/>
    </row>
    <row r="21" spans="3:17" ht="15" customHeight="1" x14ac:dyDescent="0.3">
      <c r="I21" s="176"/>
      <c r="J21" s="176"/>
      <c r="K21" s="176"/>
      <c r="L21" s="176"/>
      <c r="M21" s="176"/>
      <c r="N21" s="176"/>
      <c r="O21" s="176"/>
      <c r="P21" s="176"/>
      <c r="Q21" s="176"/>
    </row>
    <row r="22" spans="3:17" ht="15" customHeight="1" x14ac:dyDescent="0.3">
      <c r="I22" s="176"/>
      <c r="J22" s="176"/>
      <c r="K22" s="176"/>
      <c r="L22" s="176"/>
      <c r="M22" s="176"/>
      <c r="N22" s="176"/>
      <c r="O22" s="176"/>
      <c r="P22" s="176"/>
      <c r="Q22" s="176"/>
    </row>
    <row r="23" spans="3:17" ht="19.95" customHeight="1" x14ac:dyDescent="0.3">
      <c r="I23" s="176"/>
      <c r="J23" s="176"/>
      <c r="K23" s="176"/>
      <c r="L23" s="176"/>
      <c r="M23" s="176"/>
      <c r="N23" s="176"/>
      <c r="O23" s="176"/>
      <c r="P23" s="176"/>
      <c r="Q23" s="176"/>
    </row>
    <row r="24" spans="3:17" ht="10.050000000000001" customHeight="1" x14ac:dyDescent="0.3">
      <c r="I24" s="53"/>
      <c r="J24" s="53"/>
      <c r="K24" s="53"/>
      <c r="L24" s="53"/>
      <c r="M24" s="53"/>
      <c r="N24" s="53"/>
      <c r="O24" s="53"/>
      <c r="P24" s="53"/>
      <c r="Q24" s="53"/>
    </row>
    <row r="25" spans="3:17" ht="15" customHeight="1" x14ac:dyDescent="0.3">
      <c r="C25" s="17"/>
      <c r="D25" s="17"/>
      <c r="E25" s="17"/>
      <c r="F25" s="17"/>
      <c r="I25" s="176" t="s">
        <v>111</v>
      </c>
      <c r="J25" s="176"/>
      <c r="K25" s="176"/>
      <c r="L25" s="176"/>
      <c r="M25" s="176"/>
      <c r="N25" s="176"/>
      <c r="O25" s="176"/>
      <c r="P25" s="176"/>
      <c r="Q25" s="176"/>
    </row>
    <row r="26" spans="3:17" ht="15" customHeight="1" x14ac:dyDescent="0.3">
      <c r="I26" s="176"/>
      <c r="J26" s="176"/>
      <c r="K26" s="176"/>
      <c r="L26" s="176"/>
      <c r="M26" s="176"/>
      <c r="N26" s="176"/>
      <c r="O26" s="176"/>
      <c r="P26" s="176"/>
      <c r="Q26" s="176"/>
    </row>
    <row r="27" spans="3:17" ht="10.050000000000001" customHeight="1" x14ac:dyDescent="0.3"/>
    <row r="28" spans="3:17" ht="19.95" customHeight="1" x14ac:dyDescent="0.3">
      <c r="C28" s="18" t="s">
        <v>31</v>
      </c>
      <c r="D28" s="18"/>
      <c r="E28" s="18"/>
      <c r="F28" s="18"/>
      <c r="I28" s="13" t="s">
        <v>338</v>
      </c>
    </row>
    <row r="29" spans="3:17" ht="10.050000000000001" customHeight="1" x14ac:dyDescent="0.3"/>
    <row r="30" spans="3:17" ht="19.95" customHeight="1" x14ac:dyDescent="0.3">
      <c r="C30" s="5" t="s">
        <v>33</v>
      </c>
      <c r="D30" s="5"/>
      <c r="E30" s="5"/>
      <c r="F30" s="5"/>
      <c r="I30" s="13" t="s">
        <v>69</v>
      </c>
    </row>
    <row r="31" spans="3:17" ht="10.050000000000001" customHeight="1" x14ac:dyDescent="0.3"/>
    <row r="32" spans="3:17" ht="19.95" customHeight="1" x14ac:dyDescent="0.3">
      <c r="C32" s="5" t="s">
        <v>23</v>
      </c>
      <c r="D32" s="5"/>
      <c r="E32" s="5"/>
      <c r="F32" s="5"/>
      <c r="I32" s="13" t="s">
        <v>112</v>
      </c>
    </row>
    <row r="33" spans="2:17" ht="10.050000000000001" customHeight="1" x14ac:dyDescent="0.3"/>
    <row r="34" spans="2:17" ht="19.95" customHeight="1" x14ac:dyDescent="0.3">
      <c r="B34" s="12">
        <f>B6+1</f>
        <v>3</v>
      </c>
      <c r="C34" s="13" t="s">
        <v>213</v>
      </c>
    </row>
    <row r="35" spans="2:17" ht="19.95" customHeight="1" x14ac:dyDescent="0.3">
      <c r="B35" s="12">
        <f>B34+1</f>
        <v>4</v>
      </c>
      <c r="C35" s="176" t="s">
        <v>212</v>
      </c>
      <c r="D35" s="176"/>
      <c r="E35" s="176"/>
      <c r="F35" s="176"/>
      <c r="G35" s="176"/>
      <c r="H35" s="176"/>
      <c r="I35" s="176"/>
      <c r="J35" s="176"/>
      <c r="K35" s="176"/>
      <c r="L35" s="176"/>
      <c r="M35" s="176"/>
      <c r="N35" s="176"/>
      <c r="O35" s="176"/>
      <c r="P35" s="176"/>
      <c r="Q35" s="176"/>
    </row>
    <row r="36" spans="2:17" ht="15" customHeight="1" x14ac:dyDescent="0.3">
      <c r="C36" s="176"/>
      <c r="D36" s="176"/>
      <c r="E36" s="176"/>
      <c r="F36" s="176"/>
      <c r="G36" s="176"/>
      <c r="H36" s="176"/>
      <c r="I36" s="176"/>
      <c r="J36" s="176"/>
      <c r="K36" s="176"/>
      <c r="L36" s="176"/>
      <c r="M36" s="176"/>
      <c r="N36" s="176"/>
      <c r="O36" s="176"/>
      <c r="P36" s="176"/>
      <c r="Q36" s="176"/>
    </row>
    <row r="37" spans="2:17" ht="19.95" customHeight="1" x14ac:dyDescent="0.3">
      <c r="B37" s="12">
        <v>5</v>
      </c>
      <c r="C37" s="177" t="s">
        <v>181</v>
      </c>
      <c r="D37" s="177"/>
      <c r="E37" s="177"/>
      <c r="F37" s="177"/>
      <c r="G37" s="177"/>
      <c r="H37" s="177"/>
      <c r="I37" s="177"/>
      <c r="J37" s="177"/>
      <c r="K37" s="177"/>
      <c r="L37" s="177"/>
      <c r="M37" s="177"/>
      <c r="N37" s="177"/>
      <c r="O37" s="177"/>
      <c r="P37" s="177"/>
      <c r="Q37" s="177"/>
    </row>
    <row r="38" spans="2:17" ht="19.95" customHeight="1" x14ac:dyDescent="0.3">
      <c r="C38" s="177"/>
      <c r="D38" s="177"/>
      <c r="E38" s="177"/>
      <c r="F38" s="177"/>
      <c r="G38" s="177"/>
      <c r="H38" s="177"/>
      <c r="I38" s="177"/>
      <c r="J38" s="177"/>
      <c r="K38" s="177"/>
      <c r="L38" s="177"/>
      <c r="M38" s="177"/>
      <c r="N38" s="177"/>
      <c r="O38" s="177"/>
      <c r="P38" s="177"/>
      <c r="Q38" s="177"/>
    </row>
    <row r="39" spans="2:17" ht="12" customHeight="1" x14ac:dyDescent="0.3">
      <c r="C39" s="177"/>
      <c r="D39" s="177"/>
      <c r="E39" s="177"/>
      <c r="F39" s="177"/>
      <c r="G39" s="177"/>
      <c r="H39" s="177"/>
      <c r="I39" s="177"/>
      <c r="J39" s="177"/>
      <c r="K39" s="177"/>
      <c r="L39" s="177"/>
      <c r="M39" s="177"/>
      <c r="N39" s="177"/>
      <c r="O39" s="177"/>
      <c r="P39" s="177"/>
      <c r="Q39" s="177"/>
    </row>
    <row r="40" spans="2:17" ht="19.95" customHeight="1" x14ac:dyDescent="0.3">
      <c r="B40" s="12">
        <v>6</v>
      </c>
      <c r="C40" s="13" t="s">
        <v>301</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KVRICPMDEtf8XUVegNwaZDTzfwpMViNjy2kkryc8JCnZzwtOgkchsHSWglcqn/G9IPdtDzgAkEddXir/6vveJw==" saltValue="xGjNpLzx4KuKlun0T28+HA=="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33" priority="5">
      <formula>ISBLANK(C17)</formula>
    </cfRule>
  </conditionalFormatting>
  <conditionalFormatting sqref="C9:F9">
    <cfRule type="expression" dxfId="332" priority="7">
      <formula>ISBLANK(C9)</formula>
    </cfRule>
  </conditionalFormatting>
  <conditionalFormatting sqref="F12">
    <cfRule type="expression" dxfId="331" priority="6">
      <formula>ISBLANK(F12)</formula>
    </cfRule>
  </conditionalFormatting>
  <conditionalFormatting sqref="F17">
    <cfRule type="expression" dxfId="330"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62D917-7866-44FE-9C56-CE5E13344695}">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W21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7" customWidth="1"/>
    <col min="2" max="36" width="2.77734375" style="27" customWidth="1"/>
    <col min="37" max="37" width="1.77734375" style="27" customWidth="1"/>
    <col min="38" max="38" width="10.33203125" style="11" hidden="1" customWidth="1"/>
    <col min="39" max="39" width="7.21875" style="11" hidden="1" customWidth="1"/>
    <col min="40" max="43" width="8.77734375" style="11" hidden="1" customWidth="1"/>
    <col min="44" max="44" width="20.77734375" style="11" hidden="1" customWidth="1"/>
    <col min="45" max="45" width="20" style="11" hidden="1" customWidth="1"/>
    <col min="46" max="46" width="8.77734375" style="11" hidden="1" customWidth="1"/>
    <col min="47" max="47" width="2.77734375" style="27" customWidth="1"/>
    <col min="48" max="48" width="3.77734375" style="27" customWidth="1"/>
    <col min="49" max="86" width="2.77734375" style="27" customWidth="1"/>
    <col min="87" max="89" width="2.77734375" style="27" hidden="1" customWidth="1"/>
    <col min="90" max="90" width="8.77734375" style="27" hidden="1" customWidth="1"/>
    <col min="91" max="101" width="0" style="27" hidden="1" customWidth="1"/>
    <col min="102" max="16384" width="8.88671875" style="27" hidden="1"/>
  </cols>
  <sheetData>
    <row r="1" spans="2:101" ht="15" customHeight="1" x14ac:dyDescent="0.3">
      <c r="O1" s="3"/>
      <c r="P1" s="3"/>
      <c r="Q1" s="3"/>
      <c r="S1" s="23"/>
      <c r="T1" s="192" t="s">
        <v>215</v>
      </c>
      <c r="U1" s="192"/>
      <c r="V1" s="192"/>
      <c r="W1" s="192"/>
      <c r="X1" s="192"/>
      <c r="Y1" s="192"/>
      <c r="Z1" s="192"/>
      <c r="AA1" s="192"/>
      <c r="AB1" s="192"/>
      <c r="AC1" s="192"/>
      <c r="AD1" s="192"/>
      <c r="AE1" s="192"/>
      <c r="AF1" s="192"/>
      <c r="AG1" s="192"/>
      <c r="AH1" s="192"/>
      <c r="AI1" s="192"/>
      <c r="AJ1" s="192"/>
      <c r="AK1" s="192"/>
      <c r="AL1" s="65"/>
      <c r="AM1" s="65"/>
      <c r="AN1" s="65"/>
      <c r="AO1" s="65"/>
      <c r="AP1" s="65"/>
      <c r="AQ1" s="65"/>
      <c r="AR1" s="65"/>
      <c r="AS1" s="65"/>
      <c r="AT1" s="65"/>
      <c r="AU1" s="23"/>
      <c r="BL1" s="23"/>
      <c r="BM1" s="192" t="str">
        <f>T1</f>
        <v>Form 2D - Bioretention Area
Design Form</v>
      </c>
      <c r="BN1" s="192"/>
      <c r="BO1" s="192"/>
      <c r="BP1" s="192"/>
      <c r="BQ1" s="192"/>
      <c r="BR1" s="192"/>
      <c r="BS1" s="192"/>
      <c r="BT1" s="192"/>
      <c r="BU1" s="192"/>
      <c r="BV1" s="192"/>
      <c r="BW1" s="192"/>
      <c r="BX1" s="192"/>
      <c r="BY1" s="192"/>
      <c r="BZ1" s="192"/>
      <c r="CA1" s="192"/>
      <c r="CB1" s="192"/>
      <c r="CC1" s="192"/>
      <c r="CD1" s="24"/>
      <c r="CE1" s="24"/>
      <c r="CF1" s="24"/>
      <c r="CG1" s="24"/>
      <c r="CR1" s="66"/>
      <c r="CS1" s="66"/>
      <c r="CT1" s="66"/>
      <c r="CU1" s="66"/>
      <c r="CV1" s="66"/>
      <c r="CW1" s="66"/>
    </row>
    <row r="2" spans="2:101" ht="15" customHeight="1" x14ac:dyDescent="0.3">
      <c r="J2" s="3"/>
      <c r="K2" s="3"/>
      <c r="L2" s="3"/>
      <c r="M2" s="3"/>
      <c r="N2" s="3"/>
      <c r="O2" s="3"/>
      <c r="P2" s="3"/>
      <c r="Q2" s="3"/>
      <c r="R2" s="23"/>
      <c r="S2" s="23"/>
      <c r="T2" s="192"/>
      <c r="U2" s="192"/>
      <c r="V2" s="192"/>
      <c r="W2" s="192"/>
      <c r="X2" s="192"/>
      <c r="Y2" s="192"/>
      <c r="Z2" s="192"/>
      <c r="AA2" s="192"/>
      <c r="AB2" s="192"/>
      <c r="AC2" s="192"/>
      <c r="AD2" s="192"/>
      <c r="AE2" s="192"/>
      <c r="AF2" s="192"/>
      <c r="AG2" s="192"/>
      <c r="AH2" s="192"/>
      <c r="AI2" s="192"/>
      <c r="AJ2" s="192"/>
      <c r="AK2" s="192"/>
      <c r="AL2" s="65"/>
      <c r="AM2" s="65"/>
      <c r="AN2" s="65"/>
      <c r="AO2" s="65"/>
      <c r="AP2" s="65"/>
      <c r="BK2" s="23"/>
      <c r="BL2" s="23"/>
      <c r="BM2" s="192"/>
      <c r="BN2" s="192"/>
      <c r="BO2" s="192"/>
      <c r="BP2" s="192"/>
      <c r="BQ2" s="192"/>
      <c r="BR2" s="192"/>
      <c r="BS2" s="192"/>
      <c r="BT2" s="192"/>
      <c r="BU2" s="192"/>
      <c r="BV2" s="192"/>
      <c r="BW2" s="192"/>
      <c r="BX2" s="192"/>
      <c r="BY2" s="192"/>
      <c r="BZ2" s="192"/>
      <c r="CA2" s="192"/>
      <c r="CB2" s="192"/>
      <c r="CC2" s="192"/>
      <c r="CD2" s="24"/>
      <c r="CE2" s="24"/>
      <c r="CF2" s="24"/>
      <c r="CG2" s="24"/>
      <c r="CL2" s="66"/>
      <c r="CR2" s="66"/>
      <c r="CS2" s="66"/>
      <c r="CT2" s="66"/>
      <c r="CU2" s="66"/>
      <c r="CV2" s="66"/>
      <c r="CW2" s="66"/>
    </row>
    <row r="3" spans="2:101" ht="15" customHeight="1" x14ac:dyDescent="0.3">
      <c r="J3" s="3"/>
      <c r="K3" s="3"/>
      <c r="L3" s="3"/>
      <c r="M3" s="3"/>
      <c r="N3" s="3"/>
      <c r="O3" s="3"/>
      <c r="P3" s="3"/>
      <c r="Q3" s="3"/>
      <c r="R3" s="23"/>
      <c r="S3" s="23"/>
      <c r="T3" s="192"/>
      <c r="U3" s="192"/>
      <c r="V3" s="192"/>
      <c r="W3" s="192"/>
      <c r="X3" s="192"/>
      <c r="Y3" s="192"/>
      <c r="Z3" s="192"/>
      <c r="AA3" s="192"/>
      <c r="AB3" s="192"/>
      <c r="AC3" s="192"/>
      <c r="AD3" s="192"/>
      <c r="AE3" s="192"/>
      <c r="AF3" s="192"/>
      <c r="AG3" s="192"/>
      <c r="AH3" s="192"/>
      <c r="AI3" s="192"/>
      <c r="AJ3" s="192"/>
      <c r="AK3" s="192"/>
      <c r="AL3" s="65"/>
      <c r="AM3" s="65"/>
      <c r="AN3" s="65"/>
      <c r="AO3" s="65"/>
      <c r="AP3" s="65"/>
      <c r="BK3" s="23"/>
      <c r="BL3" s="23"/>
      <c r="BM3" s="192"/>
      <c r="BN3" s="192"/>
      <c r="BO3" s="192"/>
      <c r="BP3" s="192"/>
      <c r="BQ3" s="192"/>
      <c r="BR3" s="192"/>
      <c r="BS3" s="192"/>
      <c r="BT3" s="192"/>
      <c r="BU3" s="192"/>
      <c r="BV3" s="192"/>
      <c r="BW3" s="192"/>
      <c r="BX3" s="192"/>
      <c r="BY3" s="192"/>
      <c r="BZ3" s="192"/>
      <c r="CA3" s="192"/>
      <c r="CB3" s="192"/>
      <c r="CC3" s="192"/>
      <c r="CD3" s="24"/>
      <c r="CE3" s="24"/>
      <c r="CF3" s="24"/>
      <c r="CG3" s="24"/>
      <c r="CL3" s="66"/>
      <c r="CR3" s="66"/>
      <c r="CS3" s="66"/>
      <c r="CT3" s="66"/>
      <c r="CU3" s="66"/>
      <c r="CV3" s="66"/>
      <c r="CW3" s="66"/>
    </row>
    <row r="4" spans="2:101" ht="15" customHeight="1" x14ac:dyDescent="0.3">
      <c r="J4" s="3"/>
      <c r="K4" s="3"/>
      <c r="L4" s="3"/>
      <c r="M4" s="3"/>
      <c r="N4" s="3"/>
      <c r="O4" s="3"/>
      <c r="P4" s="3"/>
      <c r="Q4" s="3"/>
      <c r="R4" s="23"/>
      <c r="S4" s="23"/>
      <c r="T4" s="192"/>
      <c r="U4" s="192"/>
      <c r="V4" s="192"/>
      <c r="W4" s="192"/>
      <c r="X4" s="192"/>
      <c r="Y4" s="192"/>
      <c r="Z4" s="192"/>
      <c r="AA4" s="192"/>
      <c r="AB4" s="192"/>
      <c r="AC4" s="192"/>
      <c r="AD4" s="192"/>
      <c r="AE4" s="192"/>
      <c r="AF4" s="192"/>
      <c r="AG4" s="192"/>
      <c r="AH4" s="192"/>
      <c r="AI4" s="192"/>
      <c r="AJ4" s="192"/>
      <c r="AK4" s="192"/>
      <c r="AL4" s="65"/>
      <c r="AM4" s="65"/>
      <c r="AN4" s="65"/>
      <c r="AO4" s="65"/>
      <c r="AP4" s="65"/>
      <c r="BK4" s="23"/>
      <c r="BL4" s="23"/>
      <c r="BM4" s="192"/>
      <c r="BN4" s="192"/>
      <c r="BO4" s="192"/>
      <c r="BP4" s="192"/>
      <c r="BQ4" s="192"/>
      <c r="BR4" s="192"/>
      <c r="BS4" s="192"/>
      <c r="BT4" s="192"/>
      <c r="BU4" s="192"/>
      <c r="BV4" s="192"/>
      <c r="BW4" s="192"/>
      <c r="BX4" s="192"/>
      <c r="BY4" s="192"/>
      <c r="BZ4" s="192"/>
      <c r="CA4" s="192"/>
      <c r="CB4" s="192"/>
      <c r="CC4" s="192"/>
      <c r="CD4" s="24"/>
      <c r="CE4" s="24"/>
      <c r="CF4" s="24"/>
      <c r="CG4" s="24"/>
      <c r="CL4" s="66"/>
      <c r="CR4" s="66"/>
      <c r="CS4" s="66"/>
      <c r="CT4" s="66"/>
      <c r="CU4" s="66"/>
      <c r="CV4" s="66"/>
      <c r="CW4" s="66"/>
    </row>
    <row r="5" spans="2:101" ht="4.95" customHeight="1" x14ac:dyDescent="0.3">
      <c r="J5" s="3"/>
      <c r="K5" s="3"/>
      <c r="L5" s="3"/>
      <c r="M5" s="3"/>
      <c r="N5" s="3"/>
      <c r="O5" s="3"/>
      <c r="P5" s="3"/>
      <c r="Q5" s="3"/>
      <c r="R5" s="24"/>
      <c r="S5" s="24"/>
      <c r="T5" s="24"/>
      <c r="U5" s="24"/>
      <c r="V5" s="24"/>
      <c r="W5" s="24"/>
      <c r="X5" s="24"/>
      <c r="Y5" s="24"/>
      <c r="Z5" s="24"/>
      <c r="AA5" s="24"/>
      <c r="AB5" s="24"/>
      <c r="AC5" s="24"/>
      <c r="AD5" s="24"/>
      <c r="AE5" s="24"/>
      <c r="AF5" s="24"/>
      <c r="AG5" s="24"/>
      <c r="AH5" s="24"/>
      <c r="AI5" s="24"/>
      <c r="AJ5" s="24"/>
      <c r="AL5" s="65"/>
      <c r="AM5" s="65"/>
      <c r="AN5" s="65"/>
      <c r="AO5" s="65"/>
      <c r="AP5" s="65"/>
    </row>
    <row r="6" spans="2:101" ht="13.95" customHeight="1" x14ac:dyDescent="0.3">
      <c r="B6" s="1" t="s">
        <v>0</v>
      </c>
      <c r="C6" s="1"/>
      <c r="D6" s="1"/>
      <c r="E6" s="1"/>
      <c r="F6" s="1"/>
      <c r="G6" s="1"/>
      <c r="H6" s="1"/>
      <c r="I6" s="1"/>
      <c r="AC6" s="2" t="s">
        <v>449</v>
      </c>
      <c r="AD6" s="225"/>
      <c r="AE6" s="225"/>
      <c r="AF6" s="225"/>
      <c r="AG6" s="225"/>
      <c r="AH6" s="225"/>
      <c r="AI6" s="225"/>
      <c r="AJ6" s="225"/>
      <c r="AV6" s="181" t="s">
        <v>68</v>
      </c>
      <c r="AW6" s="181"/>
      <c r="AX6" s="181"/>
      <c r="AY6" s="181"/>
      <c r="AZ6" s="181"/>
      <c r="BA6" s="181"/>
      <c r="BB6" s="181"/>
      <c r="BC6" s="181"/>
      <c r="BD6" s="181"/>
      <c r="BE6" s="181"/>
      <c r="BF6" s="181"/>
      <c r="BG6" s="181"/>
      <c r="BH6" s="181"/>
      <c r="BI6" s="18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row>
    <row r="7" spans="2:101" ht="13.95" customHeight="1" x14ac:dyDescent="0.3">
      <c r="D7" s="2" t="s">
        <v>129</v>
      </c>
      <c r="E7" s="188"/>
      <c r="F7" s="188"/>
      <c r="G7" s="188"/>
      <c r="H7" s="188"/>
      <c r="I7" s="188"/>
      <c r="J7" s="188"/>
      <c r="K7" s="188"/>
      <c r="L7" s="188"/>
      <c r="M7" s="188"/>
      <c r="N7" s="188"/>
      <c r="O7" s="188"/>
      <c r="P7" s="188"/>
      <c r="Q7" s="188"/>
      <c r="R7" s="188"/>
      <c r="S7" s="188"/>
      <c r="T7" s="188"/>
      <c r="U7" s="188"/>
      <c r="V7" s="188"/>
      <c r="W7" s="188"/>
      <c r="X7" s="188"/>
      <c r="AD7" s="2" t="s">
        <v>21</v>
      </c>
      <c r="AE7" s="193"/>
      <c r="AF7" s="193"/>
      <c r="AG7" s="193"/>
      <c r="AH7" s="193"/>
      <c r="AI7" s="193"/>
      <c r="AJ7" s="193"/>
      <c r="AV7" s="181"/>
      <c r="AW7" s="181"/>
      <c r="AX7" s="181"/>
      <c r="AY7" s="181"/>
      <c r="AZ7" s="181"/>
      <c r="BA7" s="181"/>
      <c r="BB7" s="181"/>
      <c r="BC7" s="181"/>
      <c r="BD7" s="181"/>
      <c r="BE7" s="181"/>
      <c r="BF7" s="181"/>
      <c r="BG7" s="181"/>
      <c r="BH7" s="181"/>
      <c r="BI7" s="18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row>
    <row r="8" spans="2:101" ht="13.95" customHeight="1" x14ac:dyDescent="0.3">
      <c r="D8" s="2" t="s">
        <v>130</v>
      </c>
      <c r="E8" s="207"/>
      <c r="F8" s="207"/>
      <c r="G8" s="207"/>
      <c r="H8" s="207"/>
      <c r="I8" s="207"/>
      <c r="J8" s="207"/>
      <c r="K8" s="207"/>
      <c r="L8" s="207"/>
      <c r="M8" s="207"/>
      <c r="N8" s="207"/>
      <c r="O8" s="207"/>
      <c r="P8" s="207"/>
      <c r="Q8" s="207"/>
      <c r="R8" s="207"/>
      <c r="S8" s="207"/>
      <c r="T8" s="207"/>
      <c r="U8" s="207"/>
      <c r="V8" s="207"/>
      <c r="W8" s="207"/>
      <c r="X8" s="207"/>
      <c r="AD8" s="2" t="s">
        <v>34</v>
      </c>
      <c r="AE8" s="194"/>
      <c r="AF8" s="194"/>
      <c r="AG8" s="194"/>
      <c r="AH8" s="194"/>
      <c r="AI8" s="194"/>
      <c r="AJ8" s="194"/>
      <c r="AV8" s="88" t="s">
        <v>114</v>
      </c>
      <c r="AZ8" s="86"/>
      <c r="BA8" s="86"/>
      <c r="BB8" s="86"/>
      <c r="BC8" s="86"/>
      <c r="BD8" s="86"/>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row>
    <row r="9" spans="2:10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67"/>
      <c r="AM9" s="67"/>
      <c r="AN9" s="67"/>
      <c r="AO9" s="67"/>
      <c r="AP9" s="67"/>
      <c r="AV9" s="89">
        <v>1</v>
      </c>
      <c r="AW9" s="10" t="s">
        <v>346</v>
      </c>
      <c r="AZ9" s="86"/>
      <c r="BA9" s="86"/>
      <c r="BB9" s="86"/>
      <c r="BC9" s="86"/>
      <c r="BD9" s="86"/>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row>
    <row r="10" spans="2:101" ht="13.95" customHeight="1" x14ac:dyDescent="0.3">
      <c r="E10" s="2" t="s">
        <v>173</v>
      </c>
      <c r="F10" s="56"/>
      <c r="G10" s="27" t="s">
        <v>124</v>
      </c>
      <c r="M10" s="56"/>
      <c r="N10" s="27" t="s">
        <v>125</v>
      </c>
      <c r="U10" s="56"/>
      <c r="V10" s="27" t="s">
        <v>126</v>
      </c>
      <c r="AC10" s="20"/>
      <c r="AD10" s="27" t="str">
        <f>" "&amp;Tables!F37</f>
        <v xml:space="preserve"> a Release Agreement</v>
      </c>
      <c r="AV10" s="89">
        <f>AV9+1</f>
        <v>2</v>
      </c>
      <c r="AW10" s="86" t="s">
        <v>347</v>
      </c>
      <c r="AY10" s="86"/>
      <c r="AZ10" s="86"/>
      <c r="BA10" s="86"/>
      <c r="BB10" s="86"/>
      <c r="BC10" s="86"/>
      <c r="BD10" s="86"/>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row>
    <row r="11" spans="2:101" ht="4.95" customHeight="1" x14ac:dyDescent="0.3">
      <c r="C11" s="2"/>
      <c r="D11" s="2"/>
      <c r="E11" s="2"/>
      <c r="F11" s="2"/>
      <c r="G11" s="2"/>
      <c r="H11" s="2"/>
      <c r="I11" s="2"/>
      <c r="AV11" s="89"/>
      <c r="AX11" s="86"/>
      <c r="AY11" s="86"/>
      <c r="AZ11" s="86"/>
      <c r="BA11" s="86"/>
      <c r="BB11" s="86"/>
      <c r="BC11" s="86"/>
      <c r="BD11" s="86"/>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row>
    <row r="12" spans="2:101" ht="13.95" customHeight="1" x14ac:dyDescent="0.3">
      <c r="C12" s="2"/>
      <c r="D12" s="2"/>
      <c r="E12" s="2"/>
      <c r="F12" s="56"/>
      <c r="G12" s="27" t="s">
        <v>183</v>
      </c>
      <c r="M12" s="56"/>
      <c r="N12" s="27" t="s">
        <v>216</v>
      </c>
      <c r="U12" s="56"/>
      <c r="V12" s="27" t="s">
        <v>184</v>
      </c>
      <c r="AV12" s="89"/>
      <c r="AW12" s="86" t="s">
        <v>348</v>
      </c>
      <c r="AX12" s="86"/>
      <c r="AY12" s="86"/>
      <c r="AZ12" s="86"/>
      <c r="BA12" s="86"/>
      <c r="BB12" s="86"/>
      <c r="BC12" s="86"/>
      <c r="BD12" s="86"/>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row>
    <row r="13" spans="2:101" ht="15" customHeight="1" x14ac:dyDescent="0.3">
      <c r="C13" s="2"/>
      <c r="D13" s="2"/>
      <c r="E13" s="2"/>
      <c r="F13" s="2"/>
      <c r="G13" s="2"/>
      <c r="H13" s="2"/>
      <c r="I13" s="2"/>
      <c r="AV13" s="89">
        <f>AV10+1</f>
        <v>3</v>
      </c>
      <c r="AW13" s="86" t="s">
        <v>304</v>
      </c>
      <c r="AX13" s="86"/>
      <c r="AY13" s="86"/>
      <c r="AZ13" s="86"/>
      <c r="BA13" s="86"/>
      <c r="BB13" s="86"/>
      <c r="BC13" s="86"/>
      <c r="BD13" s="86"/>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row>
    <row r="14" spans="2:101" ht="13.95" customHeight="1" x14ac:dyDescent="0.3">
      <c r="D14" s="2"/>
      <c r="F14" s="2" t="s">
        <v>435</v>
      </c>
      <c r="G14" s="56"/>
      <c r="H14" s="10" t="s">
        <v>376</v>
      </c>
      <c r="J14" s="20"/>
      <c r="K14" s="10" t="s">
        <v>377</v>
      </c>
      <c r="Z14" s="2" t="s">
        <v>436</v>
      </c>
      <c r="AA14" s="191"/>
      <c r="AB14" s="191"/>
      <c r="AC14" s="191"/>
      <c r="AD14" s="191"/>
      <c r="AE14" s="201" t="str">
        <f>IF($AM$16=0,"Units?",IF($AM$16=1,"ac",IF($AM$16=2,"sq-ft","Error")))</f>
        <v>Units?</v>
      </c>
      <c r="AF14" s="201"/>
      <c r="AL14" s="93">
        <f>IF(AND(ISBLANK(G14),ISBLANK(J14)),1,2)</f>
        <v>1</v>
      </c>
      <c r="AM14" s="93">
        <f>IF(ISBLANK(G14),0,1)</f>
        <v>0</v>
      </c>
      <c r="AO14" s="67" t="s">
        <v>437</v>
      </c>
      <c r="AP14" s="129">
        <f>IF($AM$16=2,AA15/43560,AA15)</f>
        <v>0</v>
      </c>
      <c r="AQ14" s="11" t="s">
        <v>438</v>
      </c>
      <c r="AW14" s="86" t="str">
        <f>"Hydrology for Small Watersheds Technical Release 55 (TR-55) or equivalent as approved by the "&amp;Tables!$F$23&amp;" Engineer;"</f>
        <v>Hydrology for Small Watersheds Technical Release 55 (TR-55) or equivalent as approved by the City Engineer;</v>
      </c>
      <c r="AY14" s="86"/>
      <c r="AZ14" s="86"/>
      <c r="BA14" s="86"/>
      <c r="BB14" s="86"/>
      <c r="BC14" s="86"/>
      <c r="BD14" s="86"/>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row>
    <row r="15" spans="2:101" ht="13.95" customHeight="1" x14ac:dyDescent="0.3">
      <c r="B15" s="27" t="s">
        <v>2</v>
      </c>
      <c r="Z15" s="2" t="s">
        <v>439</v>
      </c>
      <c r="AA15" s="226"/>
      <c r="AB15" s="226"/>
      <c r="AC15" s="226"/>
      <c r="AD15" s="226"/>
      <c r="AE15" s="201" t="str">
        <f>IF($AM$16=0,"Units?",IF($AM$16=1,"ac",IF($AM$16=2,"sq-ft","Error")))</f>
        <v>Units?</v>
      </c>
      <c r="AF15" s="201"/>
      <c r="AM15" s="93">
        <f>IF(ISBLANK(J14),0,2)</f>
        <v>0</v>
      </c>
      <c r="AN15" s="67"/>
      <c r="AO15" s="67" t="s">
        <v>440</v>
      </c>
      <c r="AP15" s="129">
        <f>IF($AM$16=2,J21/43560,J21)</f>
        <v>0</v>
      </c>
      <c r="AQ15" s="11" t="s">
        <v>438</v>
      </c>
      <c r="AV15" s="89">
        <f>AV13+1</f>
        <v>4</v>
      </c>
      <c r="AW15" s="86" t="s">
        <v>305</v>
      </c>
      <c r="AX15" s="86"/>
      <c r="AY15" s="86"/>
      <c r="AZ15" s="86"/>
      <c r="BA15" s="86"/>
      <c r="BB15" s="86"/>
      <c r="BC15" s="86"/>
      <c r="BD15" s="86"/>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row>
    <row r="16" spans="2:101" ht="13.95" customHeight="1" x14ac:dyDescent="0.3">
      <c r="D16" s="2"/>
      <c r="E16" s="2"/>
      <c r="F16" s="2"/>
      <c r="G16" s="2"/>
      <c r="I16" s="2" t="s">
        <v>174</v>
      </c>
      <c r="J16" s="191"/>
      <c r="K16" s="191"/>
      <c r="L16" s="191"/>
      <c r="M16" s="191"/>
      <c r="N16" s="201" t="str">
        <f t="shared" ref="N16:N21" si="0">IF($AM$16=0,"Units?",IF($AM$16=1,"ac",IF($AM$16=2,"sq-ft","Error")))</f>
        <v>Units?</v>
      </c>
      <c r="O16" s="201"/>
      <c r="S16" s="27" t="s">
        <v>54</v>
      </c>
      <c r="AM16" s="93">
        <f>SUM(AM14:AM15)</f>
        <v>0</v>
      </c>
      <c r="AN16" s="11" t="s">
        <v>441</v>
      </c>
      <c r="AO16" s="67" t="s">
        <v>442</v>
      </c>
      <c r="AP16" s="129">
        <f>AP15-AP14</f>
        <v>0</v>
      </c>
      <c r="AQ16" s="11" t="s">
        <v>438</v>
      </c>
      <c r="AW16" s="86" t="str">
        <f>"development hydrology for the "&amp;Tables!F28&amp;"-year, 24-hour rainfall depths;"</f>
        <v>development hydrology for the 2, 5, 10, 25, 50, and 100-year, 24-hour rainfall depths;</v>
      </c>
      <c r="AY16" s="8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row>
    <row r="17" spans="2:87" ht="13.95" customHeight="1" x14ac:dyDescent="0.3">
      <c r="D17" s="2"/>
      <c r="E17" s="2"/>
      <c r="F17" s="2"/>
      <c r="G17" s="2"/>
      <c r="I17" s="2" t="s">
        <v>175</v>
      </c>
      <c r="J17" s="190"/>
      <c r="K17" s="190"/>
      <c r="L17" s="190"/>
      <c r="M17" s="190"/>
      <c r="N17" s="201" t="str">
        <f t="shared" si="0"/>
        <v>Units?</v>
      </c>
      <c r="O17" s="201"/>
      <c r="V17" s="2" t="s">
        <v>55</v>
      </c>
      <c r="W17" s="206">
        <f>IF(AL17=1,"0.00",IFERROR(IF($J$21-$AA$15&lt;0,0,$J$21-$AA$15),""))</f>
        <v>0</v>
      </c>
      <c r="X17" s="206"/>
      <c r="Y17" s="206"/>
      <c r="Z17" s="206"/>
      <c r="AA17" s="201" t="str">
        <f>IF($AM$16=0,"Units?",IF($AM$16=1,"ac",IF($AM$16=2,"sq-ft","Error")))</f>
        <v>Units?</v>
      </c>
      <c r="AB17" s="201"/>
      <c r="AD17" s="2" t="s">
        <v>55</v>
      </c>
      <c r="AE17" s="204">
        <f>AP16</f>
        <v>0</v>
      </c>
      <c r="AF17" s="204"/>
      <c r="AG17" s="204"/>
      <c r="AH17" s="204"/>
      <c r="AI17" s="201" t="s">
        <v>438</v>
      </c>
      <c r="AJ17" s="201"/>
      <c r="AL17" s="93">
        <f>IF(AND(J21=0,ISBLANK(AA15)),0,IF(OR(J21-AA15=0,J21-AA15&lt;0),1,2))</f>
        <v>0</v>
      </c>
      <c r="AM17" s="11" t="s">
        <v>443</v>
      </c>
      <c r="AV17" s="89">
        <f>AV15+1</f>
        <v>5</v>
      </c>
      <c r="AW17" s="27" t="s">
        <v>349</v>
      </c>
      <c r="AY17" s="8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row>
    <row r="18" spans="2:87" ht="13.95" customHeight="1" x14ac:dyDescent="0.3">
      <c r="D18" s="2"/>
      <c r="E18" s="2"/>
      <c r="F18" s="2"/>
      <c r="G18" s="2"/>
      <c r="I18" s="2" t="s">
        <v>176</v>
      </c>
      <c r="J18" s="190"/>
      <c r="K18" s="190"/>
      <c r="L18" s="190"/>
      <c r="M18" s="190"/>
      <c r="N18" s="201" t="str">
        <f t="shared" si="0"/>
        <v>Units?</v>
      </c>
      <c r="O18" s="201"/>
      <c r="S18" s="27" t="s">
        <v>36</v>
      </c>
      <c r="AW18" s="27" t="s">
        <v>350</v>
      </c>
      <c r="AY18" s="8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row>
    <row r="19" spans="2:87" ht="13.95" customHeight="1" x14ac:dyDescent="0.3">
      <c r="D19" s="2"/>
      <c r="E19" s="2"/>
      <c r="F19" s="2"/>
      <c r="G19" s="2"/>
      <c r="I19" s="2" t="s">
        <v>177</v>
      </c>
      <c r="J19" s="190"/>
      <c r="K19" s="190"/>
      <c r="L19" s="190"/>
      <c r="M19" s="190"/>
      <c r="N19" s="201" t="str">
        <f t="shared" si="0"/>
        <v>Units?</v>
      </c>
      <c r="O19" s="201"/>
      <c r="V19" s="2" t="s">
        <v>38</v>
      </c>
      <c r="W19" s="27" t="str">
        <f>"AIA acres X "&amp;Tables!G15&amp; " in X 3,630"</f>
        <v>AIA acres X 1.10 in X 3,630</v>
      </c>
      <c r="AV19" s="89"/>
      <c r="AW19" s="27" t="s">
        <v>351</v>
      </c>
      <c r="AY19" s="8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row>
    <row r="20" spans="2:87" ht="13.95" customHeight="1" thickBot="1" x14ac:dyDescent="0.35">
      <c r="D20" s="2"/>
      <c r="E20" s="2"/>
      <c r="F20" s="2"/>
      <c r="G20" s="2"/>
      <c r="I20" s="2" t="s">
        <v>178</v>
      </c>
      <c r="J20" s="205"/>
      <c r="K20" s="205"/>
      <c r="L20" s="205"/>
      <c r="M20" s="205"/>
      <c r="N20" s="201" t="str">
        <f t="shared" si="0"/>
        <v>Units?</v>
      </c>
      <c r="O20" s="201"/>
      <c r="V20" s="2" t="s">
        <v>38</v>
      </c>
      <c r="W20" s="204">
        <f>IF(AL17=1,"0.00",IFERROR(IF($J$21-$AA$15&lt;0,0,$AP$16),""))</f>
        <v>0</v>
      </c>
      <c r="X20" s="204"/>
      <c r="Y20" s="204"/>
      <c r="Z20" s="204"/>
      <c r="AA20" s="27" t="str">
        <f>"acres X "&amp;Tables!G15&amp;" in X 3,630"</f>
        <v>acres X 1.10 in X 3,630</v>
      </c>
      <c r="AV20" s="22">
        <f>AV17+1</f>
        <v>6</v>
      </c>
      <c r="AW20" s="27" t="s">
        <v>473</v>
      </c>
      <c r="AZ20" s="86"/>
      <c r="BA20" s="86"/>
      <c r="BB20" s="86"/>
      <c r="BC20" s="86"/>
      <c r="BD20" s="86"/>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row>
    <row r="21" spans="2:87" ht="13.95" customHeight="1" thickTop="1" x14ac:dyDescent="0.3">
      <c r="D21" s="2"/>
      <c r="E21" s="2"/>
      <c r="F21" s="2"/>
      <c r="G21" s="2"/>
      <c r="I21" s="2" t="s">
        <v>179</v>
      </c>
      <c r="J21" s="206">
        <f>IF(SUM($J$16:$J$20)=0,0,SUM($J$16:$J$20))</f>
        <v>0</v>
      </c>
      <c r="K21" s="206"/>
      <c r="L21" s="206"/>
      <c r="M21" s="206"/>
      <c r="N21" s="201" t="str">
        <f t="shared" si="0"/>
        <v>Units?</v>
      </c>
      <c r="O21" s="201"/>
      <c r="V21" s="2" t="s">
        <v>38</v>
      </c>
      <c r="W21" s="196">
        <f>IF(AL17=1,"0",IFERROR(ROUND(IF(AP16*Tables!F15*3630&lt;0,0,AP16*Tables!F15*3630),0),""))</f>
        <v>0</v>
      </c>
      <c r="X21" s="196"/>
      <c r="Y21" s="196"/>
      <c r="Z21" s="196"/>
      <c r="AA21" s="27" t="s">
        <v>37</v>
      </c>
      <c r="AW21" s="4" t="s">
        <v>93</v>
      </c>
      <c r="AX21" s="27" t="str">
        <f>"Obtain "&amp;Tables!F37&amp;" for the adjacent property"</f>
        <v>Obtain a Release Agreement for the adjacent property</v>
      </c>
      <c r="AY21" s="86"/>
      <c r="AZ21" s="86"/>
      <c r="BA21" s="86"/>
      <c r="BB21" s="86"/>
      <c r="BC21" s="86"/>
      <c r="BD21" s="86"/>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row>
    <row r="22" spans="2:87" ht="15" customHeight="1" x14ac:dyDescent="0.3">
      <c r="AW22" s="4" t="s">
        <v>94</v>
      </c>
      <c r="AX22" s="27" t="str">
        <f>"If "&amp;Tables!F37&amp;" cannot be obtained, size the detention pond to attenuate the"</f>
        <v>If a Release Agreement cannot be obtained, size the detention pond to attenuate the</v>
      </c>
      <c r="AY22" s="86"/>
      <c r="AZ22" s="86"/>
      <c r="BA22" s="86"/>
      <c r="BB22" s="86"/>
      <c r="BC22" s="86"/>
      <c r="BD22" s="86"/>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row>
    <row r="23" spans="2:87" ht="13.95" customHeight="1" x14ac:dyDescent="0.3">
      <c r="B23" s="1" t="s">
        <v>3</v>
      </c>
      <c r="C23" s="1"/>
      <c r="D23" s="1"/>
      <c r="E23" s="1"/>
      <c r="F23" s="1"/>
      <c r="G23" s="1"/>
      <c r="H23" s="1"/>
      <c r="I23" s="1"/>
      <c r="X23" s="2" t="s">
        <v>185</v>
      </c>
      <c r="Y23" s="56"/>
      <c r="Z23" s="27" t="s">
        <v>186</v>
      </c>
      <c r="AB23" s="56"/>
      <c r="AC23" s="27" t="s">
        <v>187</v>
      </c>
      <c r="AE23" s="56"/>
      <c r="AF23" s="27" t="s">
        <v>188</v>
      </c>
      <c r="AH23" s="56"/>
      <c r="AI23" s="27" t="s">
        <v>189</v>
      </c>
      <c r="AL23" s="93">
        <f>IF(AND(ISBLANK(Y23),ISBLANK(AB23),ISBLANK(AE23),ISBLANK(AH23)),1,2)</f>
        <v>1</v>
      </c>
      <c r="AX23" s="88" t="str">
        <f>"post-development peak discharges for the "&amp;AS132&amp;"-year to be less than the pre-development "</f>
        <v xml:space="preserve">post-development peak discharges for the 25, 50, and 100-year to be less than the pre-development </v>
      </c>
      <c r="AZ23" s="86"/>
      <c r="BA23" s="86"/>
      <c r="BB23" s="86"/>
      <c r="BC23" s="86"/>
      <c r="BD23" s="86"/>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row>
    <row r="24" spans="2:87" s="21" customFormat="1" ht="15" hidden="1" customHeight="1" x14ac:dyDescent="0.3">
      <c r="B24" s="140"/>
      <c r="C24" s="140"/>
      <c r="D24" s="140"/>
      <c r="E24" s="140"/>
      <c r="F24" s="140"/>
      <c r="G24" s="140"/>
      <c r="H24" s="140"/>
      <c r="I24" s="140"/>
      <c r="L24" s="93">
        <f>IF(ISBLANK(L25),1,2)</f>
        <v>1</v>
      </c>
      <c r="P24" s="93">
        <f>IF(ISBLANK(P25),1,2)</f>
        <v>1</v>
      </c>
      <c r="T24" s="93">
        <f>IF(ISBLANK(T25),1,2)</f>
        <v>1</v>
      </c>
      <c r="X24" s="93">
        <f>IF(ISBLANK(X25),1,2)</f>
        <v>1</v>
      </c>
      <c r="AB24" s="93">
        <f>IF(ISBLANK(AB25),1,2)</f>
        <v>1</v>
      </c>
    </row>
    <row r="25" spans="2:87" ht="13.95" customHeight="1" x14ac:dyDescent="0.3">
      <c r="I25" s="2"/>
      <c r="J25" s="2" t="s">
        <v>48</v>
      </c>
      <c r="K25" s="2"/>
      <c r="L25" s="195"/>
      <c r="M25" s="195"/>
      <c r="N25" s="195"/>
      <c r="P25" s="195"/>
      <c r="Q25" s="195"/>
      <c r="R25" s="195"/>
      <c r="T25" s="195"/>
      <c r="U25" s="195"/>
      <c r="V25" s="195"/>
      <c r="W25" s="4"/>
      <c r="X25" s="195"/>
      <c r="Y25" s="195"/>
      <c r="Z25" s="195"/>
      <c r="AB25" s="195"/>
      <c r="AC25" s="195"/>
      <c r="AD25" s="195"/>
      <c r="AE25" s="4"/>
      <c r="AF25" s="180" t="s">
        <v>13</v>
      </c>
      <c r="AG25" s="180"/>
      <c r="AH25" s="180"/>
      <c r="AI25" s="4"/>
      <c r="AJ25" s="4"/>
      <c r="AX25" s="88" t="str">
        <f>"peak discharge(s) for the "&amp;AR132&amp;"-year storm event(s)"</f>
        <v>peak discharge(s) for the 25-year storm event(s)</v>
      </c>
      <c r="AZ25" s="86"/>
      <c r="BA25" s="86"/>
      <c r="BB25" s="86"/>
      <c r="BC25" s="86"/>
      <c r="BD25" s="86"/>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row>
    <row r="26" spans="2:87" ht="13.95" customHeight="1" x14ac:dyDescent="0.3">
      <c r="H26" s="2" t="s">
        <v>444</v>
      </c>
      <c r="I26" s="202" t="str">
        <f>IF($AM$16=0,"Units?",IF($AM$16=1,"(ac):",IF($AM$16=2,"(sq-ft):","Error")))</f>
        <v>Units?</v>
      </c>
      <c r="J26" s="202"/>
      <c r="K26" s="2"/>
      <c r="L26" s="190"/>
      <c r="M26" s="190"/>
      <c r="N26" s="190"/>
      <c r="P26" s="190"/>
      <c r="Q26" s="190"/>
      <c r="R26" s="190"/>
      <c r="T26" s="190"/>
      <c r="U26" s="190"/>
      <c r="V26" s="190"/>
      <c r="W26" s="4"/>
      <c r="X26" s="190"/>
      <c r="Y26" s="190"/>
      <c r="Z26" s="190"/>
      <c r="AB26" s="190"/>
      <c r="AC26" s="190"/>
      <c r="AD26" s="190"/>
      <c r="AE26" s="4"/>
      <c r="AF26" s="191"/>
      <c r="AG26" s="191"/>
      <c r="AH26" s="191"/>
      <c r="AI26" s="4"/>
      <c r="AJ26" s="4"/>
      <c r="AV26" s="89">
        <f>AV20+1</f>
        <v>7</v>
      </c>
      <c r="AW26" s="27" t="s">
        <v>306</v>
      </c>
      <c r="AX26" s="86"/>
      <c r="AY26" s="86"/>
      <c r="AZ26" s="86"/>
      <c r="BA26" s="86"/>
      <c r="BB26" s="86"/>
      <c r="BC26" s="86"/>
      <c r="BD26" s="86"/>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row>
    <row r="27" spans="2:87" ht="13.95" customHeight="1" x14ac:dyDescent="0.3">
      <c r="I27" s="2"/>
      <c r="J27" s="2" t="s">
        <v>4</v>
      </c>
      <c r="K27" s="2"/>
      <c r="L27" s="187"/>
      <c r="M27" s="187"/>
      <c r="N27" s="187"/>
      <c r="P27" s="203"/>
      <c r="Q27" s="203"/>
      <c r="R27" s="203"/>
      <c r="S27" s="68"/>
      <c r="T27" s="203"/>
      <c r="U27" s="203"/>
      <c r="V27" s="203"/>
      <c r="W27" s="4"/>
      <c r="X27" s="203"/>
      <c r="Y27" s="203"/>
      <c r="Z27" s="203"/>
      <c r="AB27" s="203"/>
      <c r="AC27" s="203"/>
      <c r="AD27" s="203"/>
      <c r="AE27" s="4"/>
      <c r="AF27" s="130"/>
      <c r="AG27" s="130"/>
      <c r="AH27" s="130"/>
      <c r="AI27" s="4"/>
      <c r="AJ27" s="4"/>
      <c r="AW27" s="27" t="s">
        <v>307</v>
      </c>
      <c r="AY27" s="86"/>
      <c r="AZ27" s="86"/>
      <c r="BA27" s="86"/>
      <c r="BB27" s="86"/>
      <c r="BC27" s="86"/>
      <c r="BD27" s="86"/>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row>
    <row r="28" spans="2:87" ht="13.95" customHeight="1" x14ac:dyDescent="0.3">
      <c r="I28" s="2"/>
      <c r="J28" s="2" t="s">
        <v>53</v>
      </c>
      <c r="K28" s="2"/>
      <c r="L28" s="185"/>
      <c r="M28" s="185"/>
      <c r="N28" s="185"/>
      <c r="P28" s="186"/>
      <c r="Q28" s="186"/>
      <c r="R28" s="186"/>
      <c r="S28" s="29"/>
      <c r="T28" s="186"/>
      <c r="U28" s="186"/>
      <c r="V28" s="186"/>
      <c r="W28" s="4"/>
      <c r="X28" s="186"/>
      <c r="Y28" s="186"/>
      <c r="Z28" s="186"/>
      <c r="AB28" s="186"/>
      <c r="AC28" s="186"/>
      <c r="AD28" s="186"/>
      <c r="AE28" s="4"/>
      <c r="AF28" s="29"/>
      <c r="AG28" s="29"/>
      <c r="AH28" s="29"/>
      <c r="AI28" s="4"/>
      <c r="AJ28" s="4"/>
      <c r="AL28" s="97">
        <f>SUM(AL29:AL34)</f>
        <v>0</v>
      </c>
      <c r="AM28" s="93">
        <f>SUM(AM29:AM34)</f>
        <v>0</v>
      </c>
      <c r="AN28" s="11" t="s">
        <v>13</v>
      </c>
      <c r="AV28" s="89">
        <f>AV26+1</f>
        <v>8</v>
      </c>
      <c r="AW28" s="27" t="s">
        <v>587</v>
      </c>
      <c r="AX28" s="86"/>
      <c r="AY28" s="86"/>
      <c r="AZ28" s="86"/>
      <c r="BA28" s="86"/>
      <c r="BB28" s="86"/>
      <c r="BC28" s="86"/>
      <c r="BD28" s="86"/>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row>
    <row r="29" spans="2:87" ht="13.95" customHeight="1" x14ac:dyDescent="0.3">
      <c r="D29" s="178" t="s">
        <v>360</v>
      </c>
      <c r="E29" s="178"/>
      <c r="F29" s="200">
        <f>Tables!$F$16</f>
        <v>4.21</v>
      </c>
      <c r="G29" s="200"/>
      <c r="H29" s="29"/>
      <c r="J29" s="2" t="str">
        <f>Tables!$D$16</f>
        <v>(2-yr)</v>
      </c>
      <c r="K29" s="2"/>
      <c r="L29" s="191"/>
      <c r="M29" s="191"/>
      <c r="N29" s="191"/>
      <c r="P29" s="191"/>
      <c r="Q29" s="191"/>
      <c r="R29" s="191"/>
      <c r="S29" s="34"/>
      <c r="T29" s="191"/>
      <c r="U29" s="191"/>
      <c r="V29" s="191"/>
      <c r="W29" s="4"/>
      <c r="X29" s="191"/>
      <c r="Y29" s="191"/>
      <c r="Z29" s="191"/>
      <c r="AB29" s="191"/>
      <c r="AC29" s="191"/>
      <c r="AD29" s="191"/>
      <c r="AE29" s="4"/>
      <c r="AF29" s="191"/>
      <c r="AG29" s="191"/>
      <c r="AH29" s="191"/>
      <c r="AI29" s="4"/>
      <c r="AJ29" s="4"/>
      <c r="AL29" s="93">
        <f t="shared" ref="AL29:AL34" si="1">IF(AF29=0,0,1)</f>
        <v>0</v>
      </c>
      <c r="AM29" s="93">
        <f t="shared" ref="AM29:AM34" si="2">IF(ISBLANK(AF29),0,1)</f>
        <v>0</v>
      </c>
      <c r="AW29" s="27" t="s">
        <v>586</v>
      </c>
      <c r="AX29" s="86"/>
      <c r="AY29" s="86"/>
      <c r="AZ29" s="86"/>
      <c r="BA29" s="86"/>
      <c r="BB29" s="86"/>
      <c r="BC29" s="86"/>
      <c r="BD29" s="86"/>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row>
    <row r="30" spans="2:87" ht="13.95" customHeight="1" x14ac:dyDescent="0.3">
      <c r="D30" s="178"/>
      <c r="E30" s="178"/>
      <c r="F30" s="200">
        <f>Tables!$F$17</f>
        <v>5.24</v>
      </c>
      <c r="G30" s="200"/>
      <c r="H30" s="29"/>
      <c r="J30" s="2" t="str">
        <f>Tables!$D$17</f>
        <v>(5-yr)</v>
      </c>
      <c r="K30" s="2"/>
      <c r="L30" s="191"/>
      <c r="M30" s="191"/>
      <c r="N30" s="191"/>
      <c r="P30" s="191"/>
      <c r="Q30" s="191"/>
      <c r="R30" s="191"/>
      <c r="S30" s="34"/>
      <c r="T30" s="190"/>
      <c r="U30" s="190"/>
      <c r="V30" s="190"/>
      <c r="W30" s="4"/>
      <c r="X30" s="190"/>
      <c r="Y30" s="190"/>
      <c r="Z30" s="190"/>
      <c r="AB30" s="190"/>
      <c r="AC30" s="190"/>
      <c r="AD30" s="190"/>
      <c r="AE30" s="4"/>
      <c r="AF30" s="190"/>
      <c r="AG30" s="190"/>
      <c r="AH30" s="190"/>
      <c r="AI30" s="4"/>
      <c r="AJ30" s="4"/>
      <c r="AL30" s="93">
        <f t="shared" si="1"/>
        <v>0</v>
      </c>
      <c r="AM30" s="93">
        <f t="shared" si="2"/>
        <v>0</v>
      </c>
      <c r="AV30" s="89">
        <f>AV28+1</f>
        <v>9</v>
      </c>
      <c r="AW30" s="27" t="s">
        <v>450</v>
      </c>
      <c r="AX30" s="86"/>
      <c r="AY30" s="86"/>
      <c r="AZ30" s="86"/>
      <c r="BA30" s="86"/>
      <c r="BB30" s="86"/>
      <c r="BC30" s="86"/>
      <c r="BD30" s="86"/>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row>
    <row r="31" spans="2:87" ht="13.95" customHeight="1" x14ac:dyDescent="0.3">
      <c r="D31" s="178"/>
      <c r="E31" s="178"/>
      <c r="F31" s="200">
        <f>Tables!$F$18</f>
        <v>6.17</v>
      </c>
      <c r="G31" s="200"/>
      <c r="H31" s="29"/>
      <c r="J31" s="2" t="str">
        <f>Tables!$D$18</f>
        <v>(10-yr)</v>
      </c>
      <c r="K31" s="2"/>
      <c r="L31" s="191"/>
      <c r="M31" s="191"/>
      <c r="N31" s="191"/>
      <c r="P31" s="190"/>
      <c r="Q31" s="190"/>
      <c r="R31" s="190"/>
      <c r="S31" s="34"/>
      <c r="T31" s="190"/>
      <c r="U31" s="190"/>
      <c r="V31" s="190"/>
      <c r="W31" s="4"/>
      <c r="X31" s="190"/>
      <c r="Y31" s="190"/>
      <c r="Z31" s="190"/>
      <c r="AB31" s="190"/>
      <c r="AC31" s="190"/>
      <c r="AD31" s="190"/>
      <c r="AE31" s="4"/>
      <c r="AF31" s="190"/>
      <c r="AG31" s="190"/>
      <c r="AH31" s="190"/>
      <c r="AI31" s="4"/>
      <c r="AJ31" s="4"/>
      <c r="AL31" s="93">
        <f t="shared" si="1"/>
        <v>0</v>
      </c>
      <c r="AM31" s="93">
        <f t="shared" si="2"/>
        <v>0</v>
      </c>
      <c r="AW31" s="27" t="s">
        <v>451</v>
      </c>
      <c r="AX31" s="86"/>
      <c r="AY31" s="8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row>
    <row r="32" spans="2:87" ht="13.95" customHeight="1" x14ac:dyDescent="0.3">
      <c r="D32" s="178"/>
      <c r="E32" s="178"/>
      <c r="F32" s="200">
        <f>Tables!$F$19</f>
        <v>7.55</v>
      </c>
      <c r="G32" s="200"/>
      <c r="H32" s="29"/>
      <c r="J32" s="2" t="str">
        <f>Tables!$D$19</f>
        <v>(25-yr)</v>
      </c>
      <c r="K32" s="2"/>
      <c r="L32" s="191"/>
      <c r="M32" s="191"/>
      <c r="N32" s="191"/>
      <c r="P32" s="190"/>
      <c r="Q32" s="190"/>
      <c r="R32" s="190"/>
      <c r="S32" s="34"/>
      <c r="T32" s="190"/>
      <c r="U32" s="190"/>
      <c r="V32" s="190"/>
      <c r="W32" s="4"/>
      <c r="X32" s="190"/>
      <c r="Y32" s="190"/>
      <c r="Z32" s="190"/>
      <c r="AB32" s="190"/>
      <c r="AC32" s="190"/>
      <c r="AD32" s="190"/>
      <c r="AE32" s="4"/>
      <c r="AF32" s="190"/>
      <c r="AG32" s="190"/>
      <c r="AH32" s="190"/>
      <c r="AI32" s="4"/>
      <c r="AJ32" s="4"/>
      <c r="AL32" s="93">
        <f t="shared" si="1"/>
        <v>0</v>
      </c>
      <c r="AM32" s="93">
        <f t="shared" si="2"/>
        <v>0</v>
      </c>
      <c r="AW32" s="27" t="s">
        <v>452</v>
      </c>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row>
    <row r="33" spans="2:87" ht="13.95" customHeight="1" x14ac:dyDescent="0.3">
      <c r="D33" s="178"/>
      <c r="E33" s="178"/>
      <c r="F33" s="200">
        <f>Tables!$F$20</f>
        <v>8.6999999999999993</v>
      </c>
      <c r="G33" s="200"/>
      <c r="H33" s="29"/>
      <c r="J33" s="2" t="str">
        <f>Tables!$D$20</f>
        <v>(50-yr)</v>
      </c>
      <c r="K33" s="2"/>
      <c r="L33" s="191"/>
      <c r="M33" s="191"/>
      <c r="N33" s="191"/>
      <c r="P33" s="190"/>
      <c r="Q33" s="190"/>
      <c r="R33" s="190"/>
      <c r="S33" s="34"/>
      <c r="T33" s="190"/>
      <c r="U33" s="190"/>
      <c r="V33" s="190"/>
      <c r="W33" s="4"/>
      <c r="X33" s="190"/>
      <c r="Y33" s="190"/>
      <c r="Z33" s="190"/>
      <c r="AB33" s="190"/>
      <c r="AC33" s="190"/>
      <c r="AD33" s="190"/>
      <c r="AE33" s="4"/>
      <c r="AF33" s="190"/>
      <c r="AG33" s="190"/>
      <c r="AH33" s="190"/>
      <c r="AI33" s="4"/>
      <c r="AJ33" s="4"/>
      <c r="AL33" s="93">
        <f t="shared" si="1"/>
        <v>0</v>
      </c>
      <c r="AM33" s="93">
        <f t="shared" si="2"/>
        <v>0</v>
      </c>
      <c r="AV33" s="89"/>
      <c r="AW33" s="27" t="s">
        <v>453</v>
      </c>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row>
    <row r="34" spans="2:87" ht="13.95" customHeight="1" x14ac:dyDescent="0.3">
      <c r="D34" s="178"/>
      <c r="E34" s="178"/>
      <c r="F34" s="200">
        <f>Tables!$F$21</f>
        <v>9.93</v>
      </c>
      <c r="G34" s="200"/>
      <c r="H34" s="29"/>
      <c r="J34" s="2" t="str">
        <f>Tables!$D$21</f>
        <v>(100-yr)</v>
      </c>
      <c r="K34" s="2"/>
      <c r="L34" s="191"/>
      <c r="M34" s="191"/>
      <c r="N34" s="191"/>
      <c r="P34" s="190"/>
      <c r="Q34" s="190"/>
      <c r="R34" s="190"/>
      <c r="S34" s="34"/>
      <c r="T34" s="190"/>
      <c r="U34" s="190"/>
      <c r="V34" s="190"/>
      <c r="W34" s="4"/>
      <c r="X34" s="190"/>
      <c r="Y34" s="190"/>
      <c r="Z34" s="190"/>
      <c r="AB34" s="190"/>
      <c r="AC34" s="190"/>
      <c r="AD34" s="190"/>
      <c r="AE34" s="4"/>
      <c r="AF34" s="190"/>
      <c r="AG34" s="190"/>
      <c r="AH34" s="190"/>
      <c r="AI34" s="4"/>
      <c r="AJ34" s="4"/>
      <c r="AL34" s="93">
        <f t="shared" si="1"/>
        <v>0</v>
      </c>
      <c r="AM34" s="93">
        <f t="shared" si="2"/>
        <v>0</v>
      </c>
      <c r="AV34" s="89">
        <f>AV30+1</f>
        <v>10</v>
      </c>
      <c r="AW34" s="86" t="s">
        <v>308</v>
      </c>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row>
    <row r="35" spans="2:87" ht="15" customHeight="1" x14ac:dyDescent="0.3">
      <c r="AL35" s="104"/>
      <c r="AM35" s="21"/>
      <c r="AW35" s="86" t="s">
        <v>309</v>
      </c>
      <c r="AY35" s="8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row>
    <row r="36" spans="2:87" ht="13.95" customHeight="1" x14ac:dyDescent="0.3">
      <c r="B36" s="1" t="s">
        <v>11</v>
      </c>
      <c r="C36" s="1"/>
      <c r="D36" s="1"/>
      <c r="E36" s="1"/>
      <c r="F36" s="1"/>
      <c r="G36" s="1"/>
      <c r="H36" s="1"/>
      <c r="I36" s="1"/>
      <c r="AV36" s="89">
        <f>AV34+1</f>
        <v>11</v>
      </c>
      <c r="AW36" s="27" t="s">
        <v>310</v>
      </c>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2:87" s="21" customFormat="1" ht="15" hidden="1" customHeight="1" x14ac:dyDescent="0.3">
      <c r="B37" s="140"/>
      <c r="C37" s="140"/>
      <c r="D37" s="140"/>
      <c r="E37" s="140"/>
      <c r="F37" s="140"/>
      <c r="G37" s="140"/>
      <c r="H37" s="140"/>
      <c r="I37" s="140"/>
      <c r="L37" s="93">
        <f>IF(ISBLANK(L38),1,2)</f>
        <v>1</v>
      </c>
      <c r="P37" s="93">
        <f>IF(ISBLANK(P38),1,2)</f>
        <v>1</v>
      </c>
      <c r="T37" s="93">
        <f>IF(ISBLANK(T38),1,2)</f>
        <v>1</v>
      </c>
      <c r="X37" s="93">
        <f>IF(ISBLANK(X38),1,2)</f>
        <v>1</v>
      </c>
      <c r="AB37" s="93">
        <f>IF(ISBLANK(AB38),1,2)</f>
        <v>1</v>
      </c>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row>
    <row r="38" spans="2:87" ht="13.95" customHeight="1" x14ac:dyDescent="0.3">
      <c r="I38" s="2"/>
      <c r="J38" s="2" t="s">
        <v>48</v>
      </c>
      <c r="K38" s="2"/>
      <c r="L38" s="195"/>
      <c r="M38" s="195"/>
      <c r="N38" s="195"/>
      <c r="P38" s="195"/>
      <c r="Q38" s="195"/>
      <c r="R38" s="195"/>
      <c r="S38" s="4"/>
      <c r="T38" s="195"/>
      <c r="U38" s="195"/>
      <c r="V38" s="195"/>
      <c r="W38" s="4"/>
      <c r="X38" s="195"/>
      <c r="Y38" s="195"/>
      <c r="Z38" s="195"/>
      <c r="AB38" s="195"/>
      <c r="AC38" s="195"/>
      <c r="AD38" s="195"/>
      <c r="AE38" s="4"/>
      <c r="AG38" s="4" t="s">
        <v>12</v>
      </c>
      <c r="AH38" s="4"/>
      <c r="AI38" s="4"/>
      <c r="AJ38" s="4"/>
      <c r="AV38" s="89"/>
      <c r="AW38" s="27" t="s">
        <v>311</v>
      </c>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row>
    <row r="39" spans="2:87" ht="13.95" customHeight="1" x14ac:dyDescent="0.3">
      <c r="H39" s="2" t="s">
        <v>444</v>
      </c>
      <c r="I39" s="202" t="str">
        <f>IF($AM$16=0,"Units?",IF($AM$16=1,"(ac):",IF($AM$16=2,"(sq-ft):","Error")))</f>
        <v>Units?</v>
      </c>
      <c r="J39" s="202"/>
      <c r="K39" s="2"/>
      <c r="L39" s="191"/>
      <c r="M39" s="191"/>
      <c r="N39" s="191"/>
      <c r="P39" s="190"/>
      <c r="Q39" s="190"/>
      <c r="R39" s="190"/>
      <c r="S39" s="4"/>
      <c r="T39" s="190"/>
      <c r="U39" s="190"/>
      <c r="V39" s="190"/>
      <c r="W39" s="4"/>
      <c r="X39" s="190"/>
      <c r="Y39" s="190"/>
      <c r="Z39" s="190"/>
      <c r="AB39" s="190"/>
      <c r="AC39" s="190"/>
      <c r="AD39" s="190"/>
      <c r="AE39" s="4"/>
      <c r="AF39" s="191"/>
      <c r="AG39" s="191"/>
      <c r="AH39" s="191"/>
      <c r="AI39" s="4"/>
      <c r="AJ39" s="4"/>
      <c r="AV39" s="89"/>
      <c r="AW39" s="4" t="s">
        <v>93</v>
      </c>
      <c r="AX39" s="27" t="s">
        <v>237</v>
      </c>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row>
    <row r="40" spans="2:87" ht="13.95" customHeight="1" x14ac:dyDescent="0.3">
      <c r="I40" s="2"/>
      <c r="J40" s="2" t="s">
        <v>4</v>
      </c>
      <c r="K40" s="2"/>
      <c r="L40" s="187"/>
      <c r="M40" s="187"/>
      <c r="N40" s="187"/>
      <c r="P40" s="203"/>
      <c r="Q40" s="203"/>
      <c r="R40" s="203"/>
      <c r="S40" s="4"/>
      <c r="T40" s="203"/>
      <c r="U40" s="203"/>
      <c r="V40" s="203"/>
      <c r="W40" s="4"/>
      <c r="X40" s="203"/>
      <c r="Y40" s="203"/>
      <c r="Z40" s="203"/>
      <c r="AB40" s="203"/>
      <c r="AC40" s="203"/>
      <c r="AD40" s="203"/>
      <c r="AE40" s="4"/>
      <c r="AF40" s="130"/>
      <c r="AG40" s="130"/>
      <c r="AH40" s="130"/>
      <c r="AI40" s="4"/>
      <c r="AJ40" s="4"/>
      <c r="AV40" s="89"/>
      <c r="AW40" s="89" t="s">
        <v>94</v>
      </c>
      <c r="AX40" s="27" t="s">
        <v>312</v>
      </c>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row>
    <row r="41" spans="2:87" ht="13.95" customHeight="1" x14ac:dyDescent="0.3">
      <c r="I41" s="2"/>
      <c r="J41" s="2" t="s">
        <v>53</v>
      </c>
      <c r="K41" s="2"/>
      <c r="L41" s="185"/>
      <c r="M41" s="185"/>
      <c r="N41" s="185"/>
      <c r="P41" s="186"/>
      <c r="Q41" s="186"/>
      <c r="R41" s="186"/>
      <c r="S41" s="4"/>
      <c r="T41" s="186"/>
      <c r="U41" s="186"/>
      <c r="V41" s="186"/>
      <c r="W41" s="4"/>
      <c r="X41" s="186"/>
      <c r="Y41" s="186"/>
      <c r="Z41" s="186"/>
      <c r="AB41" s="186"/>
      <c r="AC41" s="186"/>
      <c r="AD41" s="186"/>
      <c r="AE41" s="4"/>
      <c r="AF41" s="29"/>
      <c r="AG41" s="29"/>
      <c r="AH41" s="29"/>
      <c r="AI41" s="4"/>
      <c r="AJ41" s="4"/>
      <c r="AL41" s="97">
        <f>SUM(AL42:AL47)</f>
        <v>0</v>
      </c>
      <c r="AM41" s="93">
        <f>SUM(AM42:AM47)</f>
        <v>0</v>
      </c>
      <c r="AN41" s="11" t="s">
        <v>12</v>
      </c>
      <c r="AV41" s="89"/>
      <c r="AX41" s="27" t="s">
        <v>313</v>
      </c>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row>
    <row r="42" spans="2:87" ht="13.95" customHeight="1" x14ac:dyDescent="0.3">
      <c r="D42" s="178" t="s">
        <v>360</v>
      </c>
      <c r="E42" s="178"/>
      <c r="F42" s="200">
        <f>Tables!$F$16</f>
        <v>4.21</v>
      </c>
      <c r="G42" s="200"/>
      <c r="H42" s="29"/>
      <c r="J42" s="2" t="str">
        <f>Tables!$D$16</f>
        <v>(2-yr)</v>
      </c>
      <c r="K42" s="2"/>
      <c r="L42" s="191"/>
      <c r="M42" s="191"/>
      <c r="N42" s="191"/>
      <c r="P42" s="191"/>
      <c r="Q42" s="191"/>
      <c r="R42" s="191"/>
      <c r="S42" s="4"/>
      <c r="T42" s="191"/>
      <c r="U42" s="191"/>
      <c r="V42" s="191"/>
      <c r="W42" s="4"/>
      <c r="X42" s="191"/>
      <c r="Y42" s="191"/>
      <c r="Z42" s="191"/>
      <c r="AB42" s="191"/>
      <c r="AC42" s="191"/>
      <c r="AD42" s="191"/>
      <c r="AE42" s="4"/>
      <c r="AF42" s="191"/>
      <c r="AG42" s="191"/>
      <c r="AH42" s="191"/>
      <c r="AI42" s="4"/>
      <c r="AJ42" s="4"/>
      <c r="AL42" s="93">
        <f t="shared" ref="AL42:AL47" si="3">IF(AF42=0,0,1)</f>
        <v>0</v>
      </c>
      <c r="AM42" s="93">
        <f t="shared" ref="AM42:AM47" si="4">IF(ISBLANK(AF42),0,1)</f>
        <v>0</v>
      </c>
      <c r="AV42" s="89"/>
      <c r="AW42" s="89" t="s">
        <v>105</v>
      </c>
      <c r="AX42" s="27" t="s">
        <v>238</v>
      </c>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row>
    <row r="43" spans="2:87" ht="13.95" customHeight="1" x14ac:dyDescent="0.3">
      <c r="D43" s="178"/>
      <c r="E43" s="178"/>
      <c r="F43" s="200">
        <f>Tables!$F$17</f>
        <v>5.24</v>
      </c>
      <c r="G43" s="200"/>
      <c r="H43" s="29"/>
      <c r="J43" s="2" t="str">
        <f>Tables!$D$17</f>
        <v>(5-yr)</v>
      </c>
      <c r="K43" s="2"/>
      <c r="L43" s="191"/>
      <c r="M43" s="191"/>
      <c r="N43" s="191"/>
      <c r="P43" s="190"/>
      <c r="Q43" s="190"/>
      <c r="R43" s="190"/>
      <c r="S43" s="4"/>
      <c r="T43" s="190"/>
      <c r="U43" s="190"/>
      <c r="V43" s="190"/>
      <c r="W43" s="4"/>
      <c r="X43" s="190"/>
      <c r="Y43" s="190"/>
      <c r="Z43" s="190"/>
      <c r="AB43" s="190"/>
      <c r="AC43" s="190"/>
      <c r="AD43" s="190"/>
      <c r="AE43" s="4"/>
      <c r="AF43" s="190"/>
      <c r="AG43" s="190"/>
      <c r="AH43" s="190"/>
      <c r="AI43" s="4"/>
      <c r="AJ43" s="4"/>
      <c r="AL43" s="93">
        <f t="shared" si="3"/>
        <v>0</v>
      </c>
      <c r="AM43" s="93">
        <f t="shared" si="4"/>
        <v>0</v>
      </c>
      <c r="AV43" s="89"/>
      <c r="AW43" s="89" t="s">
        <v>106</v>
      </c>
      <c r="AX43" s="27" t="s">
        <v>239</v>
      </c>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row>
    <row r="44" spans="2:87" ht="13.95" customHeight="1" x14ac:dyDescent="0.3">
      <c r="D44" s="178"/>
      <c r="E44" s="178"/>
      <c r="F44" s="200">
        <f>Tables!$F$18</f>
        <v>6.17</v>
      </c>
      <c r="G44" s="200"/>
      <c r="H44" s="29"/>
      <c r="J44" s="2" t="str">
        <f>Tables!$D$18</f>
        <v>(10-yr)</v>
      </c>
      <c r="K44" s="2"/>
      <c r="L44" s="191"/>
      <c r="M44" s="191"/>
      <c r="N44" s="191"/>
      <c r="P44" s="190"/>
      <c r="Q44" s="190"/>
      <c r="R44" s="190"/>
      <c r="S44" s="4"/>
      <c r="T44" s="190"/>
      <c r="U44" s="190"/>
      <c r="V44" s="190"/>
      <c r="W44" s="4"/>
      <c r="X44" s="190"/>
      <c r="Y44" s="190"/>
      <c r="Z44" s="190"/>
      <c r="AB44" s="190"/>
      <c r="AC44" s="190"/>
      <c r="AD44" s="190"/>
      <c r="AE44" s="4"/>
      <c r="AF44" s="190"/>
      <c r="AG44" s="190"/>
      <c r="AH44" s="190"/>
      <c r="AI44" s="4"/>
      <c r="AJ44" s="4"/>
      <c r="AL44" s="93">
        <f t="shared" si="3"/>
        <v>0</v>
      </c>
      <c r="AM44" s="93">
        <f t="shared" si="4"/>
        <v>0</v>
      </c>
      <c r="AW44" s="89" t="s">
        <v>104</v>
      </c>
      <c r="AX44" s="27" t="s">
        <v>240</v>
      </c>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row>
    <row r="45" spans="2:87" ht="13.95" customHeight="1" x14ac:dyDescent="0.3">
      <c r="D45" s="178"/>
      <c r="E45" s="178"/>
      <c r="F45" s="200">
        <f>Tables!$F$19</f>
        <v>7.55</v>
      </c>
      <c r="G45" s="200"/>
      <c r="H45" s="29"/>
      <c r="J45" s="2" t="str">
        <f>Tables!$D$19</f>
        <v>(25-yr)</v>
      </c>
      <c r="K45" s="2"/>
      <c r="L45" s="191"/>
      <c r="M45" s="191"/>
      <c r="N45" s="191"/>
      <c r="P45" s="190"/>
      <c r="Q45" s="190"/>
      <c r="R45" s="190"/>
      <c r="S45" s="4"/>
      <c r="T45" s="190"/>
      <c r="U45" s="190"/>
      <c r="V45" s="190"/>
      <c r="W45" s="4"/>
      <c r="X45" s="190"/>
      <c r="Y45" s="190"/>
      <c r="Z45" s="190"/>
      <c r="AB45" s="190"/>
      <c r="AC45" s="190"/>
      <c r="AD45" s="190"/>
      <c r="AE45" s="4"/>
      <c r="AF45" s="190"/>
      <c r="AG45" s="190"/>
      <c r="AH45" s="190"/>
      <c r="AI45" s="4"/>
      <c r="AJ45" s="4"/>
      <c r="AL45" s="93">
        <f t="shared" si="3"/>
        <v>0</v>
      </c>
      <c r="AM45" s="93">
        <f t="shared" si="4"/>
        <v>0</v>
      </c>
      <c r="AW45" s="89" t="s">
        <v>107</v>
      </c>
      <c r="AX45" s="27" t="s">
        <v>314</v>
      </c>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row>
    <row r="46" spans="2:87" ht="13.95" customHeight="1" x14ac:dyDescent="0.3">
      <c r="D46" s="178"/>
      <c r="E46" s="178"/>
      <c r="F46" s="200">
        <f>Tables!$F$20</f>
        <v>8.6999999999999993</v>
      </c>
      <c r="G46" s="200"/>
      <c r="H46" s="29"/>
      <c r="J46" s="2" t="str">
        <f>Tables!$D$20</f>
        <v>(50-yr)</v>
      </c>
      <c r="K46" s="2"/>
      <c r="L46" s="191"/>
      <c r="M46" s="191"/>
      <c r="N46" s="191"/>
      <c r="P46" s="190"/>
      <c r="Q46" s="190"/>
      <c r="R46" s="190"/>
      <c r="S46" s="4"/>
      <c r="T46" s="190"/>
      <c r="U46" s="190"/>
      <c r="V46" s="190"/>
      <c r="W46" s="4"/>
      <c r="X46" s="190"/>
      <c r="Y46" s="190"/>
      <c r="Z46" s="190"/>
      <c r="AB46" s="190"/>
      <c r="AC46" s="190"/>
      <c r="AD46" s="190"/>
      <c r="AE46" s="4"/>
      <c r="AF46" s="190"/>
      <c r="AG46" s="190"/>
      <c r="AH46" s="190"/>
      <c r="AI46" s="4"/>
      <c r="AJ46" s="4"/>
      <c r="AL46" s="93">
        <f t="shared" si="3"/>
        <v>0</v>
      </c>
      <c r="AM46" s="93">
        <f t="shared" si="4"/>
        <v>0</v>
      </c>
      <c r="AW46" s="89"/>
      <c r="AX46" s="27" t="s">
        <v>315</v>
      </c>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row>
    <row r="47" spans="2:87" ht="13.95" customHeight="1" x14ac:dyDescent="0.3">
      <c r="D47" s="178"/>
      <c r="E47" s="178"/>
      <c r="F47" s="200">
        <f>Tables!$F$21</f>
        <v>9.93</v>
      </c>
      <c r="G47" s="200"/>
      <c r="H47" s="29"/>
      <c r="J47" s="2" t="str">
        <f>Tables!$D$21</f>
        <v>(100-yr)</v>
      </c>
      <c r="K47" s="2"/>
      <c r="L47" s="191"/>
      <c r="M47" s="191"/>
      <c r="N47" s="191"/>
      <c r="P47" s="190"/>
      <c r="Q47" s="190"/>
      <c r="R47" s="190"/>
      <c r="S47" s="4"/>
      <c r="T47" s="190"/>
      <c r="U47" s="190"/>
      <c r="V47" s="190"/>
      <c r="W47" s="4"/>
      <c r="X47" s="190"/>
      <c r="Y47" s="190"/>
      <c r="Z47" s="190"/>
      <c r="AB47" s="190"/>
      <c r="AC47" s="190"/>
      <c r="AD47" s="190"/>
      <c r="AE47" s="4"/>
      <c r="AF47" s="190"/>
      <c r="AG47" s="190"/>
      <c r="AH47" s="190"/>
      <c r="AI47" s="4"/>
      <c r="AJ47" s="4"/>
      <c r="AL47" s="93">
        <f t="shared" si="3"/>
        <v>0</v>
      </c>
      <c r="AM47" s="93">
        <f t="shared" si="4"/>
        <v>0</v>
      </c>
      <c r="AW47" s="89" t="s">
        <v>241</v>
      </c>
      <c r="AX47" s="27" t="s">
        <v>242</v>
      </c>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row>
    <row r="48" spans="2:87" ht="4.95" customHeight="1" x14ac:dyDescent="0.3">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row>
    <row r="49" spans="2:87" ht="15" customHeight="1" x14ac:dyDescent="0.3">
      <c r="AK49" s="29"/>
      <c r="AW49" s="89" t="s">
        <v>243</v>
      </c>
      <c r="AX49" s="27" t="s">
        <v>316</v>
      </c>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row>
    <row r="50" spans="2:87" ht="15" customHeight="1" x14ac:dyDescent="0.3">
      <c r="AK50" s="29"/>
      <c r="AX50" s="27" t="s">
        <v>317</v>
      </c>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row>
    <row r="51" spans="2:87" ht="15" customHeight="1" x14ac:dyDescent="0.3">
      <c r="AK51" s="29"/>
      <c r="AW51" s="89" t="s">
        <v>244</v>
      </c>
      <c r="AX51" s="27" t="s">
        <v>318</v>
      </c>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row>
    <row r="52" spans="2:87" ht="15" customHeight="1" x14ac:dyDescent="0.3">
      <c r="AK52" s="29"/>
      <c r="AW52" s="89"/>
      <c r="AX52" s="27" t="s">
        <v>319</v>
      </c>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row>
    <row r="53" spans="2:87" ht="15" customHeight="1" x14ac:dyDescent="0.3">
      <c r="AV53" s="89">
        <f>AV36+1</f>
        <v>12</v>
      </c>
      <c r="AW53" s="90" t="s">
        <v>245</v>
      </c>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row>
    <row r="54" spans="2:87" ht="15" customHeight="1" x14ac:dyDescent="0.3">
      <c r="J54" s="2"/>
      <c r="K54" s="111"/>
      <c r="N54" s="111"/>
      <c r="V54" s="2"/>
      <c r="W54" s="111"/>
      <c r="Z54" s="111"/>
      <c r="AW54" s="89" t="s">
        <v>93</v>
      </c>
      <c r="AX54" s="27" t="s">
        <v>246</v>
      </c>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row>
    <row r="55" spans="2:87" ht="15" customHeight="1" x14ac:dyDescent="0.3">
      <c r="B55" s="179">
        <f>Tables!$F$13</f>
        <v>45931</v>
      </c>
      <c r="C55" s="179"/>
      <c r="D55" s="179"/>
      <c r="E55" s="179"/>
      <c r="F55" s="179"/>
      <c r="G55" s="179"/>
      <c r="H55" s="179"/>
      <c r="R55" s="180" t="s">
        <v>269</v>
      </c>
      <c r="S55" s="180"/>
      <c r="T55" s="180"/>
      <c r="U55" s="180"/>
      <c r="AK55" s="29"/>
      <c r="AW55" s="89" t="s">
        <v>94</v>
      </c>
      <c r="AX55" s="27" t="s">
        <v>247</v>
      </c>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row>
    <row r="56" spans="2:87" ht="15" customHeight="1" x14ac:dyDescent="0.3">
      <c r="C56" s="2" t="s">
        <v>1</v>
      </c>
      <c r="D56" s="182">
        <f>IF(ISBLANK($E$7),0,$E$7)</f>
        <v>0</v>
      </c>
      <c r="E56" s="182"/>
      <c r="F56" s="182"/>
      <c r="G56" s="182"/>
      <c r="H56" s="182"/>
      <c r="I56" s="182"/>
      <c r="J56" s="182"/>
      <c r="K56" s="182"/>
      <c r="L56" s="182"/>
      <c r="M56" s="182"/>
      <c r="N56" s="182"/>
      <c r="O56" s="182"/>
      <c r="P56" s="182"/>
      <c r="Q56" s="182"/>
      <c r="R56" s="182"/>
      <c r="S56" s="182"/>
      <c r="T56" s="182"/>
      <c r="U56" s="182"/>
      <c r="V56" s="182"/>
      <c r="W56" s="182"/>
      <c r="X56" s="182"/>
      <c r="Y56" s="182"/>
      <c r="AD56" s="2" t="s">
        <v>21</v>
      </c>
      <c r="AE56" s="183">
        <f>IF(ISBLANK($AE$7),0,$AE$7)</f>
        <v>0</v>
      </c>
      <c r="AF56" s="183"/>
      <c r="AG56" s="183"/>
      <c r="AH56" s="183"/>
      <c r="AI56" s="183"/>
      <c r="AJ56" s="183"/>
      <c r="AM56" s="93">
        <f t="shared" ref="AM56" si="5">IF(ISBLANK(AF56),0,1)</f>
        <v>0</v>
      </c>
      <c r="AW56" s="89" t="s">
        <v>105</v>
      </c>
      <c r="AX56" s="27" t="s">
        <v>248</v>
      </c>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row>
    <row r="57" spans="2:87" ht="15" customHeight="1" x14ac:dyDescent="0.3">
      <c r="B57" s="1" t="s">
        <v>556</v>
      </c>
      <c r="C57" s="1"/>
      <c r="D57" s="1"/>
      <c r="E57" s="1"/>
      <c r="F57" s="1"/>
      <c r="G57" s="1"/>
      <c r="H57" s="1"/>
      <c r="K57" s="2"/>
      <c r="L57" s="2"/>
      <c r="M57" s="2"/>
      <c r="N57" s="2"/>
      <c r="O57" s="2"/>
      <c r="P57" s="2"/>
      <c r="Q57" s="2"/>
      <c r="R57" s="2"/>
      <c r="S57" s="2"/>
      <c r="T57" s="2"/>
      <c r="U57" s="2"/>
      <c r="V57" s="2"/>
      <c r="W57" s="2"/>
      <c r="X57" s="2"/>
      <c r="Y57" s="2"/>
      <c r="Z57" s="2"/>
      <c r="AA57" s="2"/>
      <c r="AB57" s="2"/>
      <c r="AD57" s="2" t="s">
        <v>34</v>
      </c>
      <c r="AE57" s="184">
        <f>IF(ISBLANK($AE$8),0,$AE$8)</f>
        <v>0</v>
      </c>
      <c r="AF57" s="184"/>
      <c r="AG57" s="184"/>
      <c r="AH57" s="184"/>
      <c r="AI57" s="184"/>
      <c r="AJ57" s="184"/>
      <c r="AK57" s="2"/>
      <c r="AL57" s="67"/>
      <c r="AM57" s="67"/>
      <c r="AN57" s="67"/>
      <c r="AO57" s="67"/>
      <c r="AP57" s="67"/>
      <c r="AV57" s="89"/>
      <c r="AW57" s="89" t="s">
        <v>106</v>
      </c>
      <c r="AX57" s="27" t="s">
        <v>249</v>
      </c>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row>
    <row r="58" spans="2:87" ht="4.95" customHeight="1" x14ac:dyDescent="0.3">
      <c r="AK58" s="2"/>
      <c r="AL58" s="67"/>
      <c r="AN58" s="67"/>
      <c r="AO58" s="67"/>
      <c r="AP58" s="67"/>
    </row>
    <row r="59" spans="2:87" ht="15" customHeight="1" x14ac:dyDescent="0.3">
      <c r="H59" s="2" t="s">
        <v>185</v>
      </c>
      <c r="J59" s="56"/>
      <c r="K59" s="27" t="s">
        <v>186</v>
      </c>
      <c r="M59" s="56"/>
      <c r="N59" s="27" t="s">
        <v>187</v>
      </c>
      <c r="P59" s="56"/>
      <c r="Q59" s="27" t="s">
        <v>188</v>
      </c>
      <c r="S59" s="56"/>
      <c r="T59" s="27" t="s">
        <v>189</v>
      </c>
      <c r="AK59" s="2"/>
      <c r="AL59" s="93">
        <f>IF(AND(ISBLANK(J59),ISBLANK(M59),ISBLANK(P59),ISBLANK(S59)),1,2)</f>
        <v>1</v>
      </c>
      <c r="AN59" s="67"/>
      <c r="AO59" s="67"/>
      <c r="AP59" s="67"/>
      <c r="AW59" s="89" t="s">
        <v>104</v>
      </c>
      <c r="AX59" s="27" t="s">
        <v>250</v>
      </c>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row>
    <row r="60" spans="2:87" ht="4.95" customHeight="1" x14ac:dyDescent="0.3">
      <c r="AK60" s="2"/>
      <c r="AN60" s="67"/>
      <c r="AO60" s="67"/>
      <c r="AP60" s="67"/>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row>
    <row r="61" spans="2:87" ht="15" customHeight="1" x14ac:dyDescent="0.3">
      <c r="K61" s="2" t="s">
        <v>191</v>
      </c>
      <c r="L61" s="185"/>
      <c r="M61" s="185"/>
      <c r="N61" s="185"/>
      <c r="O61" s="27" t="s">
        <v>192</v>
      </c>
      <c r="AD61" s="2" t="s">
        <v>259</v>
      </c>
      <c r="AE61" s="56"/>
      <c r="AF61" s="27" t="s">
        <v>120</v>
      </c>
      <c r="AG61" s="2"/>
      <c r="AH61" s="56"/>
      <c r="AI61" s="27" t="s">
        <v>121</v>
      </c>
      <c r="AK61" s="2"/>
      <c r="AL61" s="93">
        <f>IF(AND(ISBLANK(AE61),ISBLANK(AH61)),1,2)</f>
        <v>1</v>
      </c>
      <c r="AN61" s="67"/>
      <c r="AO61" s="67"/>
      <c r="AP61" s="67"/>
      <c r="AV61" s="89"/>
      <c r="AW61" s="89" t="s">
        <v>107</v>
      </c>
      <c r="AX61" s="27" t="s">
        <v>251</v>
      </c>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row>
    <row r="62" spans="2:87" ht="4.95" customHeight="1" x14ac:dyDescent="0.3">
      <c r="AK62" s="2"/>
      <c r="AN62" s="67"/>
      <c r="AO62" s="67"/>
      <c r="AP62" s="67"/>
      <c r="AW62" s="89"/>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row>
    <row r="63" spans="2:87" ht="15" customHeight="1" x14ac:dyDescent="0.3">
      <c r="G63" s="2" t="s">
        <v>218</v>
      </c>
      <c r="H63" s="185"/>
      <c r="I63" s="185"/>
      <c r="J63" s="185"/>
      <c r="K63" s="27" t="s">
        <v>35</v>
      </c>
      <c r="S63" s="2" t="s">
        <v>190</v>
      </c>
      <c r="T63" s="185"/>
      <c r="U63" s="185"/>
      <c r="V63" s="185"/>
      <c r="W63" s="27" t="s">
        <v>43</v>
      </c>
      <c r="AB63" s="2" t="s">
        <v>219</v>
      </c>
      <c r="AC63" s="185"/>
      <c r="AD63" s="185"/>
      <c r="AE63" s="185"/>
      <c r="AF63" s="27" t="s">
        <v>220</v>
      </c>
      <c r="AK63" s="2"/>
      <c r="AN63" s="67"/>
      <c r="AO63" s="67"/>
      <c r="AP63" s="67"/>
      <c r="AW63" s="89" t="s">
        <v>241</v>
      </c>
      <c r="AX63" s="27" t="s">
        <v>252</v>
      </c>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row>
    <row r="64" spans="2:87" ht="4.95" customHeight="1" x14ac:dyDescent="0.3">
      <c r="K64" s="2"/>
      <c r="O64" s="2"/>
      <c r="W64" s="2"/>
      <c r="AE64" s="2"/>
      <c r="AK64" s="2"/>
      <c r="AN64" s="67"/>
      <c r="AO64" s="67"/>
      <c r="AP64" s="67"/>
      <c r="AV64" s="89"/>
    </row>
    <row r="65" spans="3:90" ht="15" customHeight="1" x14ac:dyDescent="0.3">
      <c r="G65" s="2" t="s">
        <v>194</v>
      </c>
      <c r="H65" s="56"/>
      <c r="I65" s="27" t="s">
        <v>120</v>
      </c>
      <c r="J65" s="2"/>
      <c r="K65" s="56"/>
      <c r="L65" s="27" t="s">
        <v>121</v>
      </c>
      <c r="O65" s="2" t="s">
        <v>193</v>
      </c>
      <c r="P65" s="188"/>
      <c r="Q65" s="188"/>
      <c r="R65" s="188"/>
      <c r="S65" s="188"/>
      <c r="T65" s="188"/>
      <c r="W65" s="2"/>
      <c r="X65" s="2"/>
      <c r="Y65" s="2"/>
      <c r="AK65" s="2"/>
      <c r="AL65" s="93">
        <f>IF(AND(ISBLANK(H65),ISBLANK(K65)),1,2)</f>
        <v>1</v>
      </c>
      <c r="AM65" s="93">
        <f>IF(ISBLANK(H65),1,2)</f>
        <v>1</v>
      </c>
      <c r="AN65" s="67"/>
      <c r="AO65" s="67"/>
      <c r="AP65" s="67"/>
      <c r="AV65" s="89"/>
      <c r="AW65" s="89" t="s">
        <v>243</v>
      </c>
      <c r="AX65" s="27" t="s">
        <v>253</v>
      </c>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row>
    <row r="66" spans="3:90" ht="4.95" customHeight="1" x14ac:dyDescent="0.3">
      <c r="G66" s="2"/>
      <c r="H66" s="2"/>
      <c r="I66" s="2"/>
      <c r="J66" s="2"/>
      <c r="K66" s="2"/>
      <c r="L66" s="2"/>
      <c r="W66" s="2"/>
      <c r="X66" s="2"/>
      <c r="Y66" s="2"/>
      <c r="AK66" s="2"/>
      <c r="AN66" s="67"/>
      <c r="AO66" s="67"/>
      <c r="AP66" s="67"/>
      <c r="AV66" s="89"/>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row>
    <row r="67" spans="3:90" ht="14.55" customHeight="1" x14ac:dyDescent="0.3">
      <c r="C67" s="73" t="s">
        <v>203</v>
      </c>
      <c r="N67" s="4" t="s">
        <v>195</v>
      </c>
      <c r="R67" s="180" t="s">
        <v>196</v>
      </c>
      <c r="S67" s="180"/>
      <c r="T67" s="180"/>
      <c r="W67" s="180" t="s">
        <v>197</v>
      </c>
      <c r="X67" s="180"/>
      <c r="Y67" s="180"/>
      <c r="AN67" s="67"/>
      <c r="AO67" s="67"/>
      <c r="AP67" s="67"/>
      <c r="AV67" s="89"/>
      <c r="AW67" s="89" t="s">
        <v>244</v>
      </c>
      <c r="AX67" s="27" t="s">
        <v>254</v>
      </c>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row>
    <row r="68" spans="3:90" ht="14.55" customHeight="1" x14ac:dyDescent="0.3">
      <c r="L68" s="2" t="s">
        <v>222</v>
      </c>
      <c r="M68" s="185"/>
      <c r="N68" s="185"/>
      <c r="O68" s="185"/>
      <c r="P68" s="27" t="s">
        <v>42</v>
      </c>
      <c r="R68" s="185"/>
      <c r="S68" s="185"/>
      <c r="T68" s="185"/>
      <c r="U68" s="27" t="s">
        <v>43</v>
      </c>
      <c r="W68" s="185"/>
      <c r="X68" s="185"/>
      <c r="Y68" s="185"/>
      <c r="Z68" s="27" t="s">
        <v>43</v>
      </c>
      <c r="AN68" s="67"/>
      <c r="AO68" s="67"/>
      <c r="AP68" s="67"/>
      <c r="AV68" s="89"/>
      <c r="AW68" s="89" t="s">
        <v>257</v>
      </c>
      <c r="AX68" s="27" t="s">
        <v>255</v>
      </c>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row>
    <row r="69" spans="3:90" ht="14.55" customHeight="1" x14ac:dyDescent="0.3">
      <c r="L69" s="2" t="s">
        <v>223</v>
      </c>
      <c r="M69" s="186"/>
      <c r="N69" s="186"/>
      <c r="O69" s="186"/>
      <c r="P69" s="27" t="s">
        <v>42</v>
      </c>
      <c r="R69" s="186"/>
      <c r="S69" s="186"/>
      <c r="T69" s="186"/>
      <c r="U69" s="27" t="s">
        <v>43</v>
      </c>
      <c r="W69" s="186"/>
      <c r="X69" s="186"/>
      <c r="Y69" s="186"/>
      <c r="Z69" s="27" t="s">
        <v>43</v>
      </c>
      <c r="AN69" s="67"/>
      <c r="AO69" s="67"/>
      <c r="AP69" s="67"/>
      <c r="AV69" s="89"/>
      <c r="AW69" s="89" t="s">
        <v>258</v>
      </c>
      <c r="AX69" s="27" t="s">
        <v>256</v>
      </c>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row>
    <row r="70" spans="3:90" ht="14.55" customHeight="1" x14ac:dyDescent="0.3">
      <c r="L70" s="2" t="s">
        <v>224</v>
      </c>
      <c r="M70" s="186"/>
      <c r="N70" s="186"/>
      <c r="O70" s="186"/>
      <c r="P70" s="27" t="s">
        <v>42</v>
      </c>
      <c r="R70" s="186"/>
      <c r="S70" s="186"/>
      <c r="T70" s="186"/>
      <c r="U70" s="27" t="s">
        <v>43</v>
      </c>
      <c r="W70" s="186"/>
      <c r="X70" s="186"/>
      <c r="Y70" s="186"/>
      <c r="Z70" s="27" t="s">
        <v>43</v>
      </c>
      <c r="AN70" s="67"/>
      <c r="AO70" s="67"/>
      <c r="AP70" s="67"/>
      <c r="AV70" s="22">
        <f>AV53+1</f>
        <v>13</v>
      </c>
      <c r="AW70" s="27" t="s">
        <v>340</v>
      </c>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row>
    <row r="71" spans="3:90" ht="4.95" customHeight="1" x14ac:dyDescent="0.3">
      <c r="L71" s="2"/>
      <c r="M71" s="79"/>
      <c r="N71" s="79"/>
      <c r="O71" s="79"/>
      <c r="R71" s="28"/>
      <c r="S71" s="28"/>
      <c r="T71" s="28"/>
      <c r="W71" s="28"/>
      <c r="X71" s="28"/>
      <c r="Y71" s="28"/>
      <c r="AN71" s="67"/>
      <c r="AO71" s="67"/>
      <c r="AP71" s="67"/>
      <c r="BA71" s="89"/>
      <c r="BB71" s="89"/>
      <c r="BC71" s="89"/>
      <c r="BD71" s="89"/>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row>
    <row r="72" spans="3:90" ht="14.55" customHeight="1" x14ac:dyDescent="0.3">
      <c r="C72" s="73" t="s">
        <v>200</v>
      </c>
      <c r="L72" s="2" t="s">
        <v>157</v>
      </c>
      <c r="M72" s="188"/>
      <c r="N72" s="188"/>
      <c r="O72" s="188"/>
      <c r="P72" s="188"/>
      <c r="AC72" s="56"/>
      <c r="AD72" s="27" t="s">
        <v>204</v>
      </c>
      <c r="AL72" s="93">
        <f>IF(ISBLANK(M72),1,2)</f>
        <v>1</v>
      </c>
      <c r="AM72" s="93">
        <f>IF(ISBLANK(AC72),1,2)</f>
        <v>1</v>
      </c>
      <c r="AN72" s="67"/>
      <c r="AO72" s="67"/>
      <c r="AP72" s="67"/>
      <c r="AV72" s="22">
        <f>AV70+1</f>
        <v>14</v>
      </c>
      <c r="AW72" s="27" t="s">
        <v>454</v>
      </c>
      <c r="BA72" s="89"/>
      <c r="BB72" s="89"/>
      <c r="BC72" s="89"/>
      <c r="BD72" s="89"/>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row>
    <row r="73" spans="3:90" ht="14.55" customHeight="1" x14ac:dyDescent="0.3">
      <c r="L73" s="2" t="s">
        <v>202</v>
      </c>
      <c r="M73" s="186"/>
      <c r="N73" s="186"/>
      <c r="O73" s="186"/>
      <c r="P73" s="27" t="s">
        <v>43</v>
      </c>
      <c r="V73" s="2" t="s">
        <v>156</v>
      </c>
      <c r="W73" s="185"/>
      <c r="X73" s="185"/>
      <c r="Y73" s="185"/>
      <c r="Z73" s="27" t="s">
        <v>42</v>
      </c>
      <c r="AN73" s="67"/>
      <c r="AO73" s="67"/>
      <c r="AP73" s="67"/>
      <c r="AV73" s="22">
        <f>AV72+1</f>
        <v>15</v>
      </c>
      <c r="AW73" s="27" t="s">
        <v>455</v>
      </c>
      <c r="BA73" s="89"/>
      <c r="BB73" s="89"/>
      <c r="BC73" s="89"/>
      <c r="BD73" s="89"/>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row>
    <row r="74" spans="3:90" ht="14.55" customHeight="1" x14ac:dyDescent="0.3">
      <c r="L74" s="2" t="s">
        <v>201</v>
      </c>
      <c r="M74" s="186"/>
      <c r="N74" s="186"/>
      <c r="O74" s="186"/>
      <c r="P74" s="27" t="s">
        <v>43</v>
      </c>
      <c r="V74" s="2" t="s">
        <v>156</v>
      </c>
      <c r="W74" s="186"/>
      <c r="X74" s="186"/>
      <c r="Y74" s="186"/>
      <c r="Z74" s="27" t="s">
        <v>42</v>
      </c>
      <c r="AN74" s="67"/>
      <c r="AO74" s="67"/>
      <c r="AP74" s="67"/>
      <c r="AZ74" s="89"/>
      <c r="BA74" s="89"/>
      <c r="BB74" s="89"/>
      <c r="BC74" s="89"/>
      <c r="BD74" s="89"/>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row>
    <row r="75" spans="3:90" ht="4.95" customHeight="1" x14ac:dyDescent="0.3">
      <c r="AN75" s="67"/>
      <c r="AO75" s="67"/>
      <c r="AP75" s="67"/>
      <c r="AZ75" s="89"/>
      <c r="BA75" s="89"/>
      <c r="BB75" s="89"/>
      <c r="BC75" s="89"/>
      <c r="BD75" s="89"/>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26"/>
    </row>
    <row r="76" spans="3:90" ht="14.55" customHeight="1" x14ac:dyDescent="0.3">
      <c r="C76" s="73" t="s">
        <v>221</v>
      </c>
      <c r="L76" s="2" t="s">
        <v>157</v>
      </c>
      <c r="M76" s="188"/>
      <c r="N76" s="188"/>
      <c r="O76" s="188"/>
      <c r="P76" s="188"/>
      <c r="AC76" s="56"/>
      <c r="AD76" s="27" t="s">
        <v>233</v>
      </c>
      <c r="AL76" s="93">
        <f>IF(ISBLANK(M76),1,2)</f>
        <v>1</v>
      </c>
      <c r="AM76" s="93">
        <f>IF(ISBLANK(AC76),1,2)</f>
        <v>1</v>
      </c>
      <c r="AN76" s="67"/>
      <c r="AO76" s="67"/>
      <c r="AP76" s="67"/>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26"/>
    </row>
    <row r="77" spans="3:90" ht="14.55" customHeight="1" x14ac:dyDescent="0.3">
      <c r="L77" s="2" t="s">
        <v>156</v>
      </c>
      <c r="M77" s="186"/>
      <c r="N77" s="186"/>
      <c r="O77" s="186"/>
      <c r="P77" s="27" t="s">
        <v>42</v>
      </c>
      <c r="V77" s="2" t="s">
        <v>232</v>
      </c>
      <c r="W77" s="187"/>
      <c r="X77" s="187"/>
      <c r="Y77" s="187"/>
      <c r="Z77" s="27" t="s">
        <v>198</v>
      </c>
      <c r="AN77" s="67"/>
      <c r="AO77" s="67"/>
      <c r="AP77" s="67"/>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26"/>
    </row>
    <row r="78" spans="3:90" ht="4.95" customHeight="1" x14ac:dyDescent="0.3">
      <c r="AN78" s="67"/>
      <c r="AO78" s="67"/>
      <c r="AP78" s="67"/>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26"/>
    </row>
    <row r="79" spans="3:90" ht="14.55" customHeight="1" x14ac:dyDescent="0.3">
      <c r="C79" s="73" t="s">
        <v>225</v>
      </c>
      <c r="L79" s="2" t="s">
        <v>157</v>
      </c>
      <c r="M79" s="188"/>
      <c r="N79" s="188"/>
      <c r="O79" s="188"/>
      <c r="P79" s="188"/>
      <c r="V79" s="2" t="s">
        <v>158</v>
      </c>
      <c r="W79" s="188"/>
      <c r="X79" s="188"/>
      <c r="Y79" s="188"/>
      <c r="AC79" s="56"/>
      <c r="AD79" s="27" t="s">
        <v>266</v>
      </c>
      <c r="AL79" s="93">
        <f>IF(ISBLANK(AC79),1,2)</f>
        <v>1</v>
      </c>
      <c r="AN79" s="67"/>
      <c r="AO79" s="67"/>
      <c r="AP79" s="67"/>
      <c r="AV79" s="89"/>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26"/>
    </row>
    <row r="80" spans="3:90" ht="4.95" customHeight="1" x14ac:dyDescent="0.3">
      <c r="C80" s="73"/>
      <c r="L80" s="2"/>
      <c r="M80" s="2"/>
      <c r="N80" s="2"/>
      <c r="O80" s="2"/>
      <c r="P80" s="2"/>
      <c r="Q80" s="2"/>
      <c r="R80" s="2"/>
      <c r="S80" s="2"/>
      <c r="T80" s="2"/>
      <c r="U80" s="2"/>
      <c r="V80" s="2"/>
      <c r="W80" s="2"/>
      <c r="X80" s="2"/>
      <c r="Y80" s="2"/>
      <c r="Z80" s="2"/>
      <c r="AA80" s="2"/>
      <c r="AB80" s="2"/>
      <c r="AC80" s="2"/>
      <c r="AD80" s="2"/>
      <c r="AN80" s="67"/>
      <c r="AO80" s="67"/>
      <c r="AP80" s="67"/>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26"/>
    </row>
    <row r="81" spans="2:90" ht="14.55" customHeight="1" x14ac:dyDescent="0.3">
      <c r="L81" s="2" t="s">
        <v>156</v>
      </c>
      <c r="M81" s="185"/>
      <c r="N81" s="185"/>
      <c r="O81" s="185"/>
      <c r="P81" s="27" t="s">
        <v>42</v>
      </c>
      <c r="V81" s="2" t="s">
        <v>155</v>
      </c>
      <c r="W81" s="185"/>
      <c r="X81" s="185"/>
      <c r="Y81" s="185"/>
      <c r="Z81" s="27" t="s">
        <v>43</v>
      </c>
      <c r="AE81" s="2" t="s">
        <v>159</v>
      </c>
      <c r="AF81" s="185"/>
      <c r="AG81" s="185"/>
      <c r="AH81" s="185"/>
      <c r="AI81" s="27" t="s">
        <v>43</v>
      </c>
      <c r="AL81" s="93">
        <f>IF(ISBLANK(M81),1,2)</f>
        <v>1</v>
      </c>
      <c r="AM81" s="93">
        <f>IF(AND(ISBLANK(W81),ISBLANK(AF81)),1,2)</f>
        <v>1</v>
      </c>
      <c r="AN81" s="67"/>
      <c r="AO81" s="67"/>
      <c r="AP81" s="67"/>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26"/>
    </row>
    <row r="82" spans="2:90" ht="4.95" customHeight="1" x14ac:dyDescent="0.3">
      <c r="AN82" s="67"/>
      <c r="AO82" s="67"/>
      <c r="AP82" s="67"/>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26"/>
    </row>
    <row r="83" spans="2:90" ht="14.55" customHeight="1" x14ac:dyDescent="0.3">
      <c r="L83" s="2" t="s">
        <v>260</v>
      </c>
      <c r="M83" s="185"/>
      <c r="N83" s="185"/>
      <c r="O83" s="185"/>
      <c r="P83" s="27" t="s">
        <v>43</v>
      </c>
      <c r="V83" s="2" t="s">
        <v>261</v>
      </c>
      <c r="W83" s="185"/>
      <c r="X83" s="185"/>
      <c r="Y83" s="185"/>
      <c r="Z83" s="27" t="s">
        <v>43</v>
      </c>
      <c r="AD83" s="2" t="s">
        <v>153</v>
      </c>
      <c r="AE83" s="20"/>
      <c r="AF83" s="27" t="s">
        <v>120</v>
      </c>
      <c r="AG83" s="2"/>
      <c r="AH83" s="20"/>
      <c r="AI83" s="27" t="s">
        <v>121</v>
      </c>
      <c r="AL83" s="93">
        <f>IF(AND(ISBLANK(AE83),ISBLANK(AH83)),1,2)</f>
        <v>1</v>
      </c>
      <c r="AN83" s="67"/>
      <c r="AO83" s="67"/>
      <c r="AP83" s="67"/>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26"/>
    </row>
    <row r="84" spans="2:90" ht="4.95" customHeight="1" x14ac:dyDescent="0.3">
      <c r="AN84" s="67"/>
      <c r="AO84" s="67"/>
      <c r="AP84" s="67"/>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26"/>
    </row>
    <row r="85" spans="2:90" ht="14.55" customHeight="1" x14ac:dyDescent="0.3">
      <c r="C85" s="73" t="s">
        <v>226</v>
      </c>
      <c r="L85" s="2" t="s">
        <v>157</v>
      </c>
      <c r="M85" s="188"/>
      <c r="N85" s="188"/>
      <c r="O85" s="188"/>
      <c r="P85" s="188"/>
      <c r="V85" s="2" t="s">
        <v>158</v>
      </c>
      <c r="W85" s="189"/>
      <c r="X85" s="189"/>
      <c r="Y85" s="189"/>
      <c r="AE85" s="2" t="s">
        <v>207</v>
      </c>
      <c r="AF85" s="185"/>
      <c r="AG85" s="185"/>
      <c r="AH85" s="185"/>
      <c r="AI85" s="27" t="s">
        <v>43</v>
      </c>
      <c r="AN85" s="67"/>
      <c r="AO85" s="67"/>
      <c r="AP85" s="67"/>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26"/>
    </row>
    <row r="86" spans="2:90" ht="14.55" customHeight="1" x14ac:dyDescent="0.3">
      <c r="L86" s="2" t="s">
        <v>156</v>
      </c>
      <c r="M86" s="185"/>
      <c r="N86" s="185"/>
      <c r="O86" s="185"/>
      <c r="P86" s="27" t="s">
        <v>42</v>
      </c>
      <c r="V86" s="2" t="s">
        <v>155</v>
      </c>
      <c r="W86" s="186"/>
      <c r="X86" s="186"/>
      <c r="Y86" s="186"/>
      <c r="Z86" s="27" t="s">
        <v>43</v>
      </c>
      <c r="AE86" s="2" t="s">
        <v>159</v>
      </c>
      <c r="AF86" s="185"/>
      <c r="AG86" s="185"/>
      <c r="AH86" s="185"/>
      <c r="AI86" s="27" t="s">
        <v>43</v>
      </c>
      <c r="AL86" s="93">
        <f>IF(ISBLANK(M86),1,2)</f>
        <v>1</v>
      </c>
      <c r="AM86" s="93">
        <f>IF(AND(ISBLANK(W86),ISBLANK(AF86)),1,2)</f>
        <v>1</v>
      </c>
      <c r="AN86" s="67"/>
      <c r="AO86" s="67"/>
      <c r="AP86" s="67"/>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26"/>
    </row>
    <row r="87" spans="2:90" ht="4.95" customHeight="1" x14ac:dyDescent="0.3">
      <c r="AE87" s="2"/>
      <c r="AF87" s="28"/>
      <c r="AG87" s="28"/>
      <c r="AH87" s="28"/>
      <c r="AN87" s="67"/>
      <c r="AO87" s="67"/>
      <c r="AP87" s="67"/>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26"/>
    </row>
    <row r="88" spans="2:90" ht="14.55" customHeight="1" x14ac:dyDescent="0.3">
      <c r="C88" s="73" t="s">
        <v>227</v>
      </c>
      <c r="L88" s="2" t="s">
        <v>228</v>
      </c>
      <c r="M88" s="185"/>
      <c r="N88" s="185"/>
      <c r="O88" s="185"/>
      <c r="P88" s="27" t="s">
        <v>42</v>
      </c>
      <c r="V88" s="2" t="s">
        <v>229</v>
      </c>
      <c r="W88" s="185"/>
      <c r="X88" s="185"/>
      <c r="Y88" s="185"/>
      <c r="Z88" s="27" t="s">
        <v>230</v>
      </c>
      <c r="AN88" s="67" t="s">
        <v>154</v>
      </c>
      <c r="AO88" s="93">
        <f>IF(ISBLANK(K92),1,2)</f>
        <v>1</v>
      </c>
      <c r="AP88" s="21"/>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26"/>
    </row>
    <row r="89" spans="2:90" ht="4.95" customHeight="1" x14ac:dyDescent="0.3">
      <c r="AN89" s="67"/>
      <c r="AO89" s="67"/>
      <c r="AP89" s="67"/>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26"/>
    </row>
    <row r="90" spans="2:90" ht="14.55" customHeight="1" x14ac:dyDescent="0.3">
      <c r="C90" s="73" t="s">
        <v>231</v>
      </c>
      <c r="L90" s="2" t="s">
        <v>228</v>
      </c>
      <c r="M90" s="185"/>
      <c r="N90" s="185"/>
      <c r="O90" s="185"/>
      <c r="P90" s="27" t="s">
        <v>42</v>
      </c>
      <c r="V90" s="2" t="s">
        <v>229</v>
      </c>
      <c r="W90" s="185"/>
      <c r="X90" s="185"/>
      <c r="Y90" s="185"/>
      <c r="Z90" s="27" t="s">
        <v>230</v>
      </c>
      <c r="AE90" s="2" t="s">
        <v>234</v>
      </c>
      <c r="AF90" s="187"/>
      <c r="AG90" s="187"/>
      <c r="AH90" s="187"/>
      <c r="AI90" s="27" t="s">
        <v>235</v>
      </c>
      <c r="AN90" s="67" t="s">
        <v>336</v>
      </c>
      <c r="AO90" s="93">
        <f>IF(AND(ISBLANK(K92),ISBLANK(N92)),1,IF(LEN(K92)&gt;0,1,0))</f>
        <v>1</v>
      </c>
      <c r="AP90" s="21"/>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26"/>
    </row>
    <row r="91" spans="2:90" ht="4.95" customHeight="1" x14ac:dyDescent="0.3">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row>
    <row r="92" spans="2:90" ht="14.55" customHeight="1" x14ac:dyDescent="0.3">
      <c r="B92" s="1" t="s">
        <v>448</v>
      </c>
      <c r="C92" s="1"/>
      <c r="D92" s="1"/>
      <c r="E92" s="1"/>
      <c r="F92" s="1"/>
      <c r="G92" s="1"/>
      <c r="H92" s="1"/>
      <c r="I92" s="1"/>
      <c r="K92" s="56"/>
      <c r="L92" s="27" t="s">
        <v>120</v>
      </c>
      <c r="N92" s="56"/>
      <c r="O92" s="27" t="s">
        <v>121</v>
      </c>
      <c r="Z92" s="2"/>
      <c r="AD92" s="2" t="s">
        <v>137</v>
      </c>
      <c r="AE92" s="56"/>
      <c r="AF92" s="27" t="s">
        <v>120</v>
      </c>
      <c r="AG92" s="32"/>
      <c r="AH92" s="56"/>
      <c r="AI92" s="32" t="s">
        <v>138</v>
      </c>
      <c r="AL92" s="98">
        <f>IF(AND(ISBLANK(AE92),ISBLANK(AH92)),1,2)</f>
        <v>1</v>
      </c>
      <c r="AM92" s="93">
        <f>SUM(AM94,AM95,AQ94,AO94,AO95,AQ95)</f>
        <v>0</v>
      </c>
      <c r="AN92" s="51" t="s">
        <v>206</v>
      </c>
      <c r="AO92" s="93">
        <f>IF(AND(ISBLANK(K92),ISBLANK(N92)),1,2)</f>
        <v>1</v>
      </c>
      <c r="AP92" s="21"/>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row>
    <row r="93" spans="2:90" ht="4.95" customHeight="1" x14ac:dyDescent="0.3">
      <c r="B93" s="1"/>
      <c r="C93" s="1"/>
      <c r="D93" s="1"/>
      <c r="E93" s="1"/>
      <c r="F93" s="1"/>
      <c r="G93" s="1"/>
      <c r="H93" s="1"/>
      <c r="I93" s="1"/>
      <c r="K93" s="4"/>
      <c r="N93" s="4"/>
      <c r="AJ93" s="32"/>
      <c r="AL93" s="69"/>
      <c r="AN93" s="67"/>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row>
    <row r="94" spans="2:90" ht="14.55" customHeight="1" x14ac:dyDescent="0.3">
      <c r="E94" s="2" t="s">
        <v>157</v>
      </c>
      <c r="F94" s="188"/>
      <c r="G94" s="188"/>
      <c r="H94" s="188"/>
      <c r="I94" s="188"/>
      <c r="N94" s="2" t="s">
        <v>158</v>
      </c>
      <c r="O94" s="188"/>
      <c r="P94" s="188"/>
      <c r="Q94" s="188"/>
      <c r="AI94" s="32"/>
      <c r="AJ94" s="32"/>
      <c r="AL94" s="67" t="s">
        <v>23</v>
      </c>
      <c r="AM94" s="93">
        <f>IF(ISBLANK(F94),0,1)</f>
        <v>0</v>
      </c>
      <c r="AN94" s="67" t="s">
        <v>33</v>
      </c>
      <c r="AO94" s="93">
        <f>IF(ISBLANK(O94),0,1)</f>
        <v>0</v>
      </c>
      <c r="AP94" s="67" t="s">
        <v>78</v>
      </c>
      <c r="AQ94" s="93">
        <f>IF(ISBLANK(W95),0,1)</f>
        <v>0</v>
      </c>
      <c r="AR94" s="21"/>
      <c r="AS94" s="21"/>
      <c r="AT94" s="21"/>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row>
    <row r="95" spans="2:90" ht="14.55" customHeight="1" x14ac:dyDescent="0.3">
      <c r="E95" s="2" t="s">
        <v>155</v>
      </c>
      <c r="F95" s="186"/>
      <c r="G95" s="186"/>
      <c r="H95" s="186"/>
      <c r="I95" s="186"/>
      <c r="J95" s="27" t="s">
        <v>43</v>
      </c>
      <c r="N95" s="2" t="s">
        <v>159</v>
      </c>
      <c r="O95" s="186"/>
      <c r="P95" s="186"/>
      <c r="Q95" s="186"/>
      <c r="R95" s="27" t="s">
        <v>43</v>
      </c>
      <c r="V95" s="2" t="s">
        <v>172</v>
      </c>
      <c r="W95" s="185"/>
      <c r="X95" s="185"/>
      <c r="Y95" s="185"/>
      <c r="Z95" s="27" t="s">
        <v>43</v>
      </c>
      <c r="AE95" s="2" t="s">
        <v>113</v>
      </c>
      <c r="AF95" s="185"/>
      <c r="AG95" s="185"/>
      <c r="AH95" s="185"/>
      <c r="AI95" s="27" t="s">
        <v>43</v>
      </c>
      <c r="AL95" s="67" t="s">
        <v>52</v>
      </c>
      <c r="AM95" s="93">
        <f>IF(ISBLANK(F95),0,1)</f>
        <v>0</v>
      </c>
      <c r="AN95" s="67" t="s">
        <v>77</v>
      </c>
      <c r="AO95" s="93">
        <f>IF(ISBLANK(O95),0,1)</f>
        <v>0</v>
      </c>
      <c r="AP95" s="67" t="s">
        <v>79</v>
      </c>
      <c r="AQ95" s="93">
        <f>IF(ISBLANK(AF95),0,1)</f>
        <v>0</v>
      </c>
      <c r="AR95" s="21"/>
      <c r="AS95" s="21"/>
      <c r="AT95" s="21"/>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row>
    <row r="96" spans="2:90" ht="4.95" customHeight="1" x14ac:dyDescent="0.3">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L96" s="67"/>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row>
    <row r="97" spans="2:89" ht="15" customHeight="1" x14ac:dyDescent="0.3">
      <c r="B97" s="1" t="s">
        <v>486</v>
      </c>
      <c r="C97" s="1"/>
      <c r="D97" s="1"/>
      <c r="E97" s="1"/>
      <c r="K97" s="2" t="s">
        <v>193</v>
      </c>
      <c r="L97" s="188"/>
      <c r="M97" s="188"/>
      <c r="N97" s="188"/>
      <c r="O97" s="188"/>
      <c r="P97" s="188"/>
      <c r="Q97" s="188"/>
      <c r="R97" s="188"/>
      <c r="S97" s="188"/>
      <c r="T97" s="188"/>
      <c r="AE97" s="2" t="s">
        <v>137</v>
      </c>
      <c r="AF97" s="56"/>
      <c r="AG97" s="27" t="s">
        <v>120</v>
      </c>
      <c r="AI97" s="56"/>
      <c r="AJ97" s="32" t="s">
        <v>138</v>
      </c>
      <c r="AL97" s="93">
        <f>IF(ISBLANK(L97),1,0)</f>
        <v>1</v>
      </c>
      <c r="AM97" s="98">
        <f>SUM(AL97,AO97,AL99:AO99)</f>
        <v>6</v>
      </c>
      <c r="AN97" s="67"/>
      <c r="AO97" s="98">
        <f>IF(AND(ISBLANK(AF97),ISBLANK(AI97)),1,0)</f>
        <v>1</v>
      </c>
      <c r="AP97" s="93">
        <f>IF(ISBLANK(AI97),1,2)</f>
        <v>1</v>
      </c>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row>
    <row r="98" spans="2:89" ht="4.95" customHeight="1" x14ac:dyDescent="0.3">
      <c r="AN98" s="67"/>
      <c r="AO98" s="67"/>
      <c r="AP98" s="67"/>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row>
    <row r="99" spans="2:89" ht="15" customHeight="1" x14ac:dyDescent="0.3">
      <c r="E99" s="2" t="s">
        <v>159</v>
      </c>
      <c r="F99" s="185"/>
      <c r="G99" s="185"/>
      <c r="H99" s="27" t="s">
        <v>43</v>
      </c>
      <c r="K99" s="2" t="s">
        <v>155</v>
      </c>
      <c r="L99" s="185"/>
      <c r="M99" s="185"/>
      <c r="N99" s="27" t="s">
        <v>43</v>
      </c>
      <c r="Q99" s="2" t="s">
        <v>228</v>
      </c>
      <c r="R99" s="185"/>
      <c r="S99" s="185"/>
      <c r="T99" s="27" t="s">
        <v>43</v>
      </c>
      <c r="AE99" s="2" t="s">
        <v>492</v>
      </c>
      <c r="AF99" s="56"/>
      <c r="AG99" s="27" t="s">
        <v>120</v>
      </c>
      <c r="AI99" s="56"/>
      <c r="AJ99" s="32" t="s">
        <v>138</v>
      </c>
      <c r="AL99" s="93">
        <f>IF(ISBLANK(F99),1,0)</f>
        <v>1</v>
      </c>
      <c r="AM99" s="93">
        <f>IF(ISBLANK(L99),1,0)</f>
        <v>1</v>
      </c>
      <c r="AN99" s="93">
        <f>IF(ISBLANK(R99),1,0)</f>
        <v>1</v>
      </c>
      <c r="AO99" s="98">
        <f>IF(AND(ISBLANK(AF99),ISBLANK(AI99)),1,0)</f>
        <v>1</v>
      </c>
      <c r="AP99" s="93">
        <f>IF(ISBLANK(AI99),1,2)</f>
        <v>1</v>
      </c>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row>
    <row r="100" spans="2:89" ht="4.95" customHeight="1" x14ac:dyDescent="0.3">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L100" s="67"/>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row>
    <row r="101" spans="2:89" ht="15" customHeight="1" x14ac:dyDescent="0.3">
      <c r="B101" s="1" t="s">
        <v>236</v>
      </c>
      <c r="C101" s="1"/>
      <c r="D101" s="1"/>
      <c r="E101" s="1"/>
      <c r="F101" s="1"/>
      <c r="G101" s="1"/>
      <c r="H101" s="1"/>
      <c r="I101" s="1"/>
      <c r="AL101" s="67"/>
      <c r="AP101" s="21"/>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row>
    <row r="102" spans="2:89" ht="15" customHeight="1" x14ac:dyDescent="0.3">
      <c r="C102" s="180" t="s">
        <v>17</v>
      </c>
      <c r="D102" s="180"/>
      <c r="E102" s="180"/>
      <c r="F102" s="4"/>
      <c r="G102" s="4"/>
      <c r="H102" s="4"/>
      <c r="I102" s="4" t="s">
        <v>18</v>
      </c>
      <c r="K102" s="4"/>
      <c r="L102" s="4"/>
      <c r="M102" s="27" t="s">
        <v>49</v>
      </c>
      <c r="T102" s="4" t="s">
        <v>17</v>
      </c>
      <c r="V102" s="4"/>
      <c r="W102" s="4"/>
      <c r="Y102" s="4" t="s">
        <v>18</v>
      </c>
      <c r="Z102" s="4"/>
      <c r="AB102" s="27" t="s">
        <v>49</v>
      </c>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row>
    <row r="103" spans="2:89" ht="14.55" customHeight="1" x14ac:dyDescent="0.3">
      <c r="C103" s="185"/>
      <c r="D103" s="185"/>
      <c r="E103" s="185"/>
      <c r="F103" s="27" t="s">
        <v>43</v>
      </c>
      <c r="H103" s="198"/>
      <c r="I103" s="198"/>
      <c r="J103" s="198"/>
      <c r="K103" s="27" t="s">
        <v>39</v>
      </c>
      <c r="M103" s="198"/>
      <c r="N103" s="198"/>
      <c r="O103" s="198"/>
      <c r="P103" s="198"/>
      <c r="Q103" s="27" t="s">
        <v>37</v>
      </c>
      <c r="S103" s="185"/>
      <c r="T103" s="185"/>
      <c r="U103" s="185"/>
      <c r="V103" s="27" t="s">
        <v>43</v>
      </c>
      <c r="W103" s="29"/>
      <c r="X103" s="198"/>
      <c r="Y103" s="198"/>
      <c r="Z103" s="198"/>
      <c r="AA103" s="27" t="s">
        <v>39</v>
      </c>
      <c r="AC103" s="198"/>
      <c r="AD103" s="198"/>
      <c r="AE103" s="198"/>
      <c r="AF103" s="198"/>
      <c r="AG103" s="27" t="s">
        <v>37</v>
      </c>
      <c r="AL103" s="93">
        <f t="shared" ref="AL103:AL109" si="6">IF(ISBLANK(C103),1,2)</f>
        <v>1</v>
      </c>
      <c r="AM103" s="93">
        <f t="shared" ref="AM103:AM109" si="7">IF(ISBLANK(S103),1,2)</f>
        <v>1</v>
      </c>
      <c r="AN103" s="93">
        <f>IF(ISBLANK(H103),1,2)</f>
        <v>1</v>
      </c>
      <c r="AO103" s="93">
        <f>IF(ISBLANK(M103),1,2)</f>
        <v>1</v>
      </c>
      <c r="AP103" s="21"/>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row>
    <row r="104" spans="2:89" ht="14.55" customHeight="1" x14ac:dyDescent="0.3">
      <c r="C104" s="186"/>
      <c r="D104" s="186"/>
      <c r="E104" s="186"/>
      <c r="F104" s="27" t="s">
        <v>43</v>
      </c>
      <c r="H104" s="197"/>
      <c r="I104" s="197"/>
      <c r="J104" s="197"/>
      <c r="K104" s="27" t="s">
        <v>39</v>
      </c>
      <c r="M104" s="197"/>
      <c r="N104" s="197"/>
      <c r="O104" s="197"/>
      <c r="P104" s="197"/>
      <c r="Q104" s="27" t="s">
        <v>37</v>
      </c>
      <c r="S104" s="186"/>
      <c r="T104" s="186"/>
      <c r="U104" s="186"/>
      <c r="V104" s="27" t="s">
        <v>43</v>
      </c>
      <c r="W104" s="29"/>
      <c r="X104" s="197"/>
      <c r="Y104" s="197"/>
      <c r="Z104" s="197"/>
      <c r="AA104" s="27" t="s">
        <v>39</v>
      </c>
      <c r="AC104" s="197"/>
      <c r="AD104" s="197"/>
      <c r="AE104" s="197"/>
      <c r="AF104" s="197"/>
      <c r="AG104" s="27" t="s">
        <v>37</v>
      </c>
      <c r="AL104" s="93">
        <f t="shared" si="6"/>
        <v>1</v>
      </c>
      <c r="AM104" s="93">
        <f t="shared" si="7"/>
        <v>1</v>
      </c>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row>
    <row r="105" spans="2:89" ht="14.55" customHeight="1" x14ac:dyDescent="0.3">
      <c r="C105" s="186"/>
      <c r="D105" s="186"/>
      <c r="E105" s="186"/>
      <c r="F105" s="27" t="s">
        <v>43</v>
      </c>
      <c r="H105" s="197"/>
      <c r="I105" s="197"/>
      <c r="J105" s="197"/>
      <c r="K105" s="27" t="s">
        <v>39</v>
      </c>
      <c r="M105" s="197"/>
      <c r="N105" s="197"/>
      <c r="O105" s="197"/>
      <c r="P105" s="197"/>
      <c r="Q105" s="27" t="s">
        <v>37</v>
      </c>
      <c r="S105" s="186"/>
      <c r="T105" s="186"/>
      <c r="U105" s="186"/>
      <c r="V105" s="27" t="s">
        <v>43</v>
      </c>
      <c r="W105" s="29"/>
      <c r="X105" s="197"/>
      <c r="Y105" s="197"/>
      <c r="Z105" s="197"/>
      <c r="AA105" s="27" t="s">
        <v>39</v>
      </c>
      <c r="AC105" s="197"/>
      <c r="AD105" s="197"/>
      <c r="AE105" s="197"/>
      <c r="AF105" s="197"/>
      <c r="AG105" s="27" t="s">
        <v>37</v>
      </c>
      <c r="AL105" s="93">
        <f t="shared" si="6"/>
        <v>1</v>
      </c>
      <c r="AM105" s="93">
        <f t="shared" si="7"/>
        <v>1</v>
      </c>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row>
    <row r="106" spans="2:89" ht="14.55" customHeight="1" x14ac:dyDescent="0.3">
      <c r="C106" s="186"/>
      <c r="D106" s="186"/>
      <c r="E106" s="186"/>
      <c r="F106" s="27" t="s">
        <v>43</v>
      </c>
      <c r="H106" s="197"/>
      <c r="I106" s="197"/>
      <c r="J106" s="197"/>
      <c r="K106" s="27" t="s">
        <v>39</v>
      </c>
      <c r="M106" s="197"/>
      <c r="N106" s="197"/>
      <c r="O106" s="197"/>
      <c r="P106" s="197"/>
      <c r="Q106" s="27" t="s">
        <v>37</v>
      </c>
      <c r="S106" s="186"/>
      <c r="T106" s="186"/>
      <c r="U106" s="186"/>
      <c r="V106" s="27" t="s">
        <v>43</v>
      </c>
      <c r="W106" s="29"/>
      <c r="X106" s="197"/>
      <c r="Y106" s="197"/>
      <c r="Z106" s="197"/>
      <c r="AA106" s="27" t="s">
        <v>39</v>
      </c>
      <c r="AC106" s="197"/>
      <c r="AD106" s="197"/>
      <c r="AE106" s="197"/>
      <c r="AF106" s="197"/>
      <c r="AG106" s="27" t="s">
        <v>37</v>
      </c>
      <c r="AL106" s="93">
        <f t="shared" si="6"/>
        <v>1</v>
      </c>
      <c r="AM106" s="93">
        <f t="shared" si="7"/>
        <v>1</v>
      </c>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row>
    <row r="107" spans="2:89" ht="14.55" customHeight="1" x14ac:dyDescent="0.3">
      <c r="C107" s="186"/>
      <c r="D107" s="186"/>
      <c r="E107" s="186"/>
      <c r="F107" s="27" t="s">
        <v>43</v>
      </c>
      <c r="H107" s="197"/>
      <c r="I107" s="197"/>
      <c r="J107" s="197"/>
      <c r="K107" s="27" t="s">
        <v>39</v>
      </c>
      <c r="M107" s="197"/>
      <c r="N107" s="197"/>
      <c r="O107" s="197"/>
      <c r="P107" s="197"/>
      <c r="Q107" s="27" t="s">
        <v>37</v>
      </c>
      <c r="S107" s="186"/>
      <c r="T107" s="186"/>
      <c r="U107" s="186"/>
      <c r="V107" s="27" t="s">
        <v>43</v>
      </c>
      <c r="W107" s="29"/>
      <c r="X107" s="197"/>
      <c r="Y107" s="197"/>
      <c r="Z107" s="197"/>
      <c r="AA107" s="27" t="s">
        <v>39</v>
      </c>
      <c r="AC107" s="197"/>
      <c r="AD107" s="197"/>
      <c r="AE107" s="197"/>
      <c r="AF107" s="197"/>
      <c r="AG107" s="27" t="s">
        <v>37</v>
      </c>
      <c r="AL107" s="93">
        <f t="shared" si="6"/>
        <v>1</v>
      </c>
      <c r="AM107" s="93">
        <f t="shared" si="7"/>
        <v>1</v>
      </c>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row>
    <row r="108" spans="2:89" ht="14.55" customHeight="1" x14ac:dyDescent="0.3">
      <c r="C108" s="186"/>
      <c r="D108" s="186"/>
      <c r="E108" s="186"/>
      <c r="F108" s="27" t="s">
        <v>43</v>
      </c>
      <c r="H108" s="197"/>
      <c r="I108" s="197"/>
      <c r="J108" s="197"/>
      <c r="K108" s="27" t="s">
        <v>39</v>
      </c>
      <c r="M108" s="197"/>
      <c r="N108" s="197"/>
      <c r="O108" s="197"/>
      <c r="P108" s="197"/>
      <c r="Q108" s="27" t="s">
        <v>37</v>
      </c>
      <c r="S108" s="186"/>
      <c r="T108" s="186"/>
      <c r="U108" s="186"/>
      <c r="V108" s="27" t="s">
        <v>43</v>
      </c>
      <c r="W108" s="29"/>
      <c r="X108" s="197"/>
      <c r="Y108" s="197"/>
      <c r="Z108" s="197"/>
      <c r="AA108" s="27" t="s">
        <v>39</v>
      </c>
      <c r="AC108" s="197"/>
      <c r="AD108" s="197"/>
      <c r="AE108" s="197"/>
      <c r="AF108" s="197"/>
      <c r="AG108" s="27" t="s">
        <v>37</v>
      </c>
      <c r="AL108" s="93">
        <f t="shared" si="6"/>
        <v>1</v>
      </c>
      <c r="AM108" s="93">
        <f t="shared" si="7"/>
        <v>1</v>
      </c>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row>
    <row r="109" spans="2:89" ht="14.55" customHeight="1" x14ac:dyDescent="0.3">
      <c r="C109" s="186"/>
      <c r="D109" s="186"/>
      <c r="E109" s="186"/>
      <c r="F109" s="27" t="s">
        <v>43</v>
      </c>
      <c r="H109" s="197"/>
      <c r="I109" s="197"/>
      <c r="J109" s="197"/>
      <c r="K109" s="27" t="s">
        <v>39</v>
      </c>
      <c r="M109" s="197"/>
      <c r="N109" s="197"/>
      <c r="O109" s="197"/>
      <c r="P109" s="197"/>
      <c r="Q109" s="27" t="s">
        <v>37</v>
      </c>
      <c r="S109" s="186"/>
      <c r="T109" s="186"/>
      <c r="U109" s="186"/>
      <c r="V109" s="27" t="s">
        <v>43</v>
      </c>
      <c r="W109" s="29"/>
      <c r="X109" s="197"/>
      <c r="Y109" s="197"/>
      <c r="Z109" s="197"/>
      <c r="AA109" s="27" t="s">
        <v>39</v>
      </c>
      <c r="AC109" s="197"/>
      <c r="AD109" s="197"/>
      <c r="AE109" s="197"/>
      <c r="AF109" s="197"/>
      <c r="AG109" s="27" t="s">
        <v>37</v>
      </c>
      <c r="AL109" s="93">
        <f t="shared" si="6"/>
        <v>1</v>
      </c>
      <c r="AM109" s="93">
        <f t="shared" si="7"/>
        <v>1</v>
      </c>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row>
    <row r="110" spans="2:89" ht="14.55" customHeight="1" x14ac:dyDescent="0.3">
      <c r="G110" s="28" t="s">
        <v>50</v>
      </c>
      <c r="H110" s="196">
        <f>$W$21</f>
        <v>0</v>
      </c>
      <c r="I110" s="196"/>
      <c r="J110" s="196"/>
      <c r="K110" s="27" t="s">
        <v>37</v>
      </c>
      <c r="O110" s="70"/>
      <c r="P110" s="36"/>
      <c r="R110" s="28" t="s">
        <v>51</v>
      </c>
      <c r="S110" s="197"/>
      <c r="T110" s="197"/>
      <c r="U110" s="197"/>
      <c r="V110" s="27" t="s">
        <v>37</v>
      </c>
      <c r="AB110" s="36" t="s">
        <v>585</v>
      </c>
      <c r="AC110" s="190"/>
      <c r="AD110" s="190"/>
      <c r="AE110" s="190"/>
      <c r="AF110" s="190"/>
      <c r="AG110" s="27" t="s">
        <v>43</v>
      </c>
      <c r="AL110" s="67" t="s">
        <v>144</v>
      </c>
      <c r="AM110" s="93">
        <f>IF(OR(S110=H110,S110&gt;H110),1,2)</f>
        <v>1</v>
      </c>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row>
    <row r="111" spans="2:89" ht="15" customHeight="1" x14ac:dyDescent="0.3">
      <c r="AK111" s="29"/>
      <c r="AM111" s="93">
        <f>IF(OR(ISBLANK(H110),ISBLANK(S110)),2,1)</f>
        <v>2</v>
      </c>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row>
    <row r="112" spans="2:89" ht="15" customHeight="1" x14ac:dyDescent="0.3">
      <c r="B112" s="179">
        <f>Tables!$F$13</f>
        <v>45931</v>
      </c>
      <c r="C112" s="179"/>
      <c r="D112" s="179"/>
      <c r="E112" s="179"/>
      <c r="F112" s="179"/>
      <c r="G112" s="179"/>
      <c r="H112" s="179"/>
      <c r="R112" s="180" t="s">
        <v>272</v>
      </c>
      <c r="S112" s="180"/>
      <c r="T112" s="180"/>
      <c r="U112" s="180"/>
      <c r="AK112" s="29"/>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row>
    <row r="113" spans="2:89" ht="15" customHeight="1" x14ac:dyDescent="0.3">
      <c r="C113" s="2" t="s">
        <v>1</v>
      </c>
      <c r="D113" s="182">
        <f>IF(ISBLANK($E$7),0,$E$7)</f>
        <v>0</v>
      </c>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34"/>
      <c r="AD113" s="2" t="s">
        <v>21</v>
      </c>
      <c r="AE113" s="183">
        <f>IF(ISBLANK($AE$7),0,$AE$7)</f>
        <v>0</v>
      </c>
      <c r="AF113" s="183"/>
      <c r="AG113" s="183"/>
      <c r="AH113" s="183"/>
      <c r="AI113" s="183"/>
      <c r="AJ113" s="183"/>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row>
    <row r="114" spans="2:89" ht="15" customHeight="1" x14ac:dyDescent="0.3">
      <c r="C114" s="35"/>
      <c r="D114" s="35"/>
      <c r="E114" s="35"/>
      <c r="F114" s="35"/>
      <c r="G114" s="35"/>
      <c r="H114" s="35"/>
      <c r="I114" s="35"/>
      <c r="J114" s="2"/>
      <c r="K114" s="2"/>
      <c r="L114" s="2"/>
      <c r="M114" s="2"/>
      <c r="N114" s="35"/>
      <c r="O114" s="34"/>
      <c r="P114" s="34"/>
      <c r="Q114" s="34"/>
      <c r="R114" s="34"/>
      <c r="S114" s="34"/>
      <c r="T114" s="34"/>
      <c r="U114" s="34"/>
      <c r="V114" s="34"/>
      <c r="W114" s="34"/>
      <c r="X114" s="34"/>
      <c r="Y114" s="34"/>
      <c r="Z114" s="34"/>
      <c r="AD114" s="2" t="s">
        <v>34</v>
      </c>
      <c r="AE114" s="184">
        <f>IF(ISBLANK($AE$8),0,$AE$8)</f>
        <v>0</v>
      </c>
      <c r="AF114" s="184"/>
      <c r="AG114" s="184"/>
      <c r="AH114" s="184"/>
      <c r="AI114" s="184"/>
      <c r="AJ114" s="184"/>
      <c r="AL114" s="67" t="s">
        <v>141</v>
      </c>
      <c r="AM114" s="93">
        <f>SUM(AM115,AO115)</f>
        <v>0</v>
      </c>
      <c r="AP114" s="67" t="s">
        <v>445</v>
      </c>
      <c r="AQ114" s="93">
        <f>IF(ISBLANK(O115),1,IF(ISTEXT(O115)=TRUE,3,2))</f>
        <v>1</v>
      </c>
      <c r="AR114" s="21"/>
      <c r="AS114" s="21"/>
      <c r="AT114" s="21"/>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row>
    <row r="115" spans="2:89" ht="15" customHeight="1" x14ac:dyDescent="0.3">
      <c r="B115" s="1" t="s">
        <v>15</v>
      </c>
      <c r="N115" s="30" t="s">
        <v>46</v>
      </c>
      <c r="O115" s="210"/>
      <c r="P115" s="210"/>
      <c r="Q115" s="210"/>
      <c r="R115" s="210"/>
      <c r="V115" s="2" t="s">
        <v>47</v>
      </c>
      <c r="W115" s="211"/>
      <c r="X115" s="211"/>
      <c r="Y115" s="211"/>
      <c r="Z115" s="211"/>
      <c r="AL115" s="67" t="s">
        <v>139</v>
      </c>
      <c r="AM115" s="93">
        <f>IF(ISBLANK(O115),0,1)</f>
        <v>0</v>
      </c>
      <c r="AN115" s="67" t="s">
        <v>140</v>
      </c>
      <c r="AO115" s="93">
        <f>IF(ISBLANK(W115),0,1)</f>
        <v>0</v>
      </c>
      <c r="AP115" s="67" t="s">
        <v>446</v>
      </c>
      <c r="AQ115" s="93">
        <f>IF(ISBLANK(W115),1,IF(ISTEXT(W115)=TRUE,3,2))</f>
        <v>1</v>
      </c>
      <c r="AR115" s="21"/>
      <c r="AS115" s="21"/>
      <c r="AT115" s="21"/>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row>
    <row r="116" spans="2:89" ht="15" customHeight="1" x14ac:dyDescent="0.3">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row>
    <row r="117" spans="2:89" ht="30" customHeight="1" x14ac:dyDescent="0.3">
      <c r="B117" s="1" t="s">
        <v>205</v>
      </c>
      <c r="J117" s="1"/>
      <c r="K117" s="1"/>
      <c r="L117" s="1"/>
      <c r="M117" s="199" t="s">
        <v>61</v>
      </c>
      <c r="N117" s="199"/>
      <c r="O117" s="199"/>
      <c r="P117" s="71"/>
      <c r="Q117" s="199" t="s">
        <v>557</v>
      </c>
      <c r="R117" s="199"/>
      <c r="S117" s="199"/>
      <c r="T117" s="71"/>
      <c r="U117" s="199" t="s">
        <v>558</v>
      </c>
      <c r="V117" s="199"/>
      <c r="W117" s="199"/>
      <c r="X117" s="199" t="s">
        <v>326</v>
      </c>
      <c r="Y117" s="199"/>
      <c r="Z117" s="199"/>
      <c r="AA117" s="199"/>
      <c r="AB117" s="199"/>
      <c r="AC117" s="199" t="s">
        <v>284</v>
      </c>
      <c r="AD117" s="199"/>
      <c r="AE117" s="199"/>
      <c r="AF117" s="71"/>
      <c r="AG117" s="199" t="s">
        <v>62</v>
      </c>
      <c r="AH117" s="199"/>
      <c r="AI117" s="199"/>
      <c r="AJ117" s="199"/>
      <c r="AL117" s="93">
        <f>SUM(AL118:AL121)</f>
        <v>4</v>
      </c>
      <c r="AM117" s="93">
        <f>SUM(AM118:AM123)</f>
        <v>6</v>
      </c>
      <c r="AN117" s="93">
        <f>SUM(AN118:AN123)</f>
        <v>6</v>
      </c>
      <c r="AO117" s="93">
        <f>SUM(AO118:AO123)</f>
        <v>0</v>
      </c>
      <c r="AP117" s="93">
        <f>SUM(AP118:AP123)</f>
        <v>0</v>
      </c>
      <c r="AQ117" s="97">
        <f>SUM(AQ118:AQ123)</f>
        <v>6</v>
      </c>
      <c r="AR117" s="143"/>
      <c r="AS117" s="143"/>
      <c r="AT117" s="143"/>
      <c r="AU117" s="113"/>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row>
    <row r="118" spans="2:89" ht="15" customHeight="1" x14ac:dyDescent="0.3">
      <c r="E118" s="29"/>
      <c r="F118" s="29"/>
      <c r="G118" s="200">
        <f>Tables!$F$16</f>
        <v>4.21</v>
      </c>
      <c r="H118" s="200"/>
      <c r="K118" s="2" t="str">
        <f>Tables!$D$16</f>
        <v>(2-yr)</v>
      </c>
      <c r="L118" s="2"/>
      <c r="M118" s="191"/>
      <c r="N118" s="191"/>
      <c r="O118" s="191"/>
      <c r="P118" s="6"/>
      <c r="Q118" s="191"/>
      <c r="R118" s="191"/>
      <c r="S118" s="191"/>
      <c r="U118" s="191"/>
      <c r="V118" s="191"/>
      <c r="W118" s="191"/>
      <c r="Y118" s="191"/>
      <c r="Z118" s="191"/>
      <c r="AA118" s="191"/>
      <c r="AC118" s="191"/>
      <c r="AD118" s="191"/>
      <c r="AE118" s="191"/>
      <c r="AG118" s="191"/>
      <c r="AH118" s="191"/>
      <c r="AI118" s="191"/>
      <c r="AL118" s="93">
        <f>IF(ISBLANK(Y118),1,IF(Y118&gt;W$95,1,0))</f>
        <v>1</v>
      </c>
      <c r="AM118" s="93">
        <f>IF(ISBLANK(AC118),1,IF(AC118&gt;$AM$126,1,0))</f>
        <v>1</v>
      </c>
      <c r="AN118" s="93">
        <f>IF(OR(ISBLANK(M118),ISBLANK(AG118)),1,IF(AG118&gt;M118,1,0))</f>
        <v>1</v>
      </c>
      <c r="AO118" s="93">
        <f t="shared" ref="AO118:AO123" si="8">IF(OR($AN$135=0,$AN$153=2),0,IF($AG118&gt;$AN$135,1,0))</f>
        <v>0</v>
      </c>
      <c r="AP118" s="93">
        <f t="shared" ref="AP118:AP123" si="9">IF(OR($AN$137=0,$AN$153=2),0,IF($AG118&gt;$AN$137,1,0))</f>
        <v>0</v>
      </c>
      <c r="AQ118" s="97">
        <f t="shared" ref="AQ118:AQ123" si="10">IF(OR(ISBLANK(M118),ISBLANK(AG118)),1,IF(AG118-M118&gt;-0.5,1,0))</f>
        <v>1</v>
      </c>
      <c r="AR118" s="143"/>
      <c r="AS118" s="143"/>
      <c r="AT118" s="143"/>
      <c r="AU118" s="113"/>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row>
    <row r="119" spans="2:89" ht="15" customHeight="1" x14ac:dyDescent="0.3">
      <c r="E119" s="29"/>
      <c r="F119" s="29"/>
      <c r="G119" s="200">
        <f>Tables!$F$17</f>
        <v>5.24</v>
      </c>
      <c r="H119" s="200"/>
      <c r="K119" s="2" t="str">
        <f>Tables!$D$17</f>
        <v>(5-yr)</v>
      </c>
      <c r="L119" s="2"/>
      <c r="M119" s="191"/>
      <c r="N119" s="191"/>
      <c r="O119" s="191"/>
      <c r="P119" s="6"/>
      <c r="Q119" s="190"/>
      <c r="R119" s="190"/>
      <c r="S119" s="190"/>
      <c r="U119" s="190"/>
      <c r="V119" s="190"/>
      <c r="W119" s="190"/>
      <c r="Y119" s="190"/>
      <c r="Z119" s="190"/>
      <c r="AA119" s="190"/>
      <c r="AC119" s="190"/>
      <c r="AD119" s="190"/>
      <c r="AE119" s="190"/>
      <c r="AG119" s="190"/>
      <c r="AH119" s="190"/>
      <c r="AI119" s="190"/>
      <c r="AL119" s="93">
        <f t="shared" ref="AL119:AL121" si="11">IF(ISBLANK(Y119),1,IF(Y119&gt;W$95,1,0))</f>
        <v>1</v>
      </c>
      <c r="AM119" s="93">
        <f t="shared" ref="AM119:AM123" si="12">IF(ISBLANK(AC119),1,IF(AC119&gt;$AM$126,1,0))</f>
        <v>1</v>
      </c>
      <c r="AN119" s="93">
        <f t="shared" ref="AN119:AN123" si="13">IF(OR(ISBLANK(M119),ISBLANK(AG119)),1,IF(AG119&gt;M119,1,0))</f>
        <v>1</v>
      </c>
      <c r="AO119" s="93">
        <f t="shared" si="8"/>
        <v>0</v>
      </c>
      <c r="AP119" s="93">
        <f t="shared" si="9"/>
        <v>0</v>
      </c>
      <c r="AQ119" s="97">
        <f t="shared" si="10"/>
        <v>1</v>
      </c>
      <c r="AR119" s="143"/>
      <c r="AS119" s="143"/>
      <c r="AT119" s="143"/>
      <c r="AU119" s="113"/>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row>
    <row r="120" spans="2:89" ht="15" customHeight="1" x14ac:dyDescent="0.3">
      <c r="E120" s="29"/>
      <c r="F120" s="29"/>
      <c r="G120" s="200">
        <f>Tables!$F$18</f>
        <v>6.17</v>
      </c>
      <c r="H120" s="200"/>
      <c r="K120" s="2" t="str">
        <f>Tables!$D$18</f>
        <v>(10-yr)</v>
      </c>
      <c r="L120" s="2"/>
      <c r="M120" s="191"/>
      <c r="N120" s="191"/>
      <c r="O120" s="191"/>
      <c r="P120" s="6"/>
      <c r="Q120" s="190"/>
      <c r="R120" s="190"/>
      <c r="S120" s="190"/>
      <c r="U120" s="190"/>
      <c r="V120" s="190"/>
      <c r="W120" s="190"/>
      <c r="Y120" s="190"/>
      <c r="Z120" s="190"/>
      <c r="AA120" s="190"/>
      <c r="AC120" s="190"/>
      <c r="AD120" s="190"/>
      <c r="AE120" s="190"/>
      <c r="AG120" s="190"/>
      <c r="AH120" s="190"/>
      <c r="AI120" s="190"/>
      <c r="AL120" s="93">
        <f t="shared" si="11"/>
        <v>1</v>
      </c>
      <c r="AM120" s="93">
        <f t="shared" si="12"/>
        <v>1</v>
      </c>
      <c r="AN120" s="93">
        <f t="shared" si="13"/>
        <v>1</v>
      </c>
      <c r="AO120" s="93">
        <f t="shared" si="8"/>
        <v>0</v>
      </c>
      <c r="AP120" s="93">
        <f t="shared" si="9"/>
        <v>0</v>
      </c>
      <c r="AQ120" s="97">
        <f t="shared" si="10"/>
        <v>1</v>
      </c>
      <c r="AR120" s="143"/>
      <c r="AS120" s="143"/>
      <c r="AT120" s="143"/>
      <c r="AU120" s="113"/>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row>
    <row r="121" spans="2:89" ht="15" customHeight="1" x14ac:dyDescent="0.3">
      <c r="E121" s="29"/>
      <c r="F121" s="29"/>
      <c r="G121" s="200">
        <f>Tables!$F$19</f>
        <v>7.55</v>
      </c>
      <c r="H121" s="200"/>
      <c r="K121" s="2" t="str">
        <f>Tables!$D$19</f>
        <v>(25-yr)</v>
      </c>
      <c r="L121" s="2"/>
      <c r="M121" s="191"/>
      <c r="N121" s="191"/>
      <c r="O121" s="191"/>
      <c r="P121" s="6"/>
      <c r="Q121" s="190"/>
      <c r="R121" s="190"/>
      <c r="S121" s="190"/>
      <c r="U121" s="190"/>
      <c r="V121" s="190"/>
      <c r="W121" s="190"/>
      <c r="Y121" s="190"/>
      <c r="Z121" s="190"/>
      <c r="AA121" s="190"/>
      <c r="AC121" s="190"/>
      <c r="AD121" s="190"/>
      <c r="AE121" s="190"/>
      <c r="AG121" s="190"/>
      <c r="AH121" s="190"/>
      <c r="AI121" s="190"/>
      <c r="AL121" s="93">
        <f t="shared" si="11"/>
        <v>1</v>
      </c>
      <c r="AM121" s="93">
        <f t="shared" si="12"/>
        <v>1</v>
      </c>
      <c r="AN121" s="93">
        <f t="shared" si="13"/>
        <v>1</v>
      </c>
      <c r="AO121" s="93">
        <f t="shared" si="8"/>
        <v>0</v>
      </c>
      <c r="AP121" s="93">
        <f t="shared" si="9"/>
        <v>0</v>
      </c>
      <c r="AQ121" s="97">
        <f t="shared" si="10"/>
        <v>1</v>
      </c>
      <c r="AR121" s="143"/>
      <c r="AS121" s="143"/>
      <c r="AT121" s="143"/>
      <c r="AU121" s="113"/>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row>
    <row r="122" spans="2:89" ht="15" customHeight="1" x14ac:dyDescent="0.3">
      <c r="E122" s="29"/>
      <c r="F122" s="29"/>
      <c r="G122" s="200">
        <f>Tables!$F$20</f>
        <v>8.6999999999999993</v>
      </c>
      <c r="H122" s="200"/>
      <c r="K122" s="2" t="str">
        <f>Tables!$D$20</f>
        <v>(50-yr)</v>
      </c>
      <c r="L122" s="2"/>
      <c r="M122" s="191"/>
      <c r="N122" s="191"/>
      <c r="O122" s="191"/>
      <c r="P122" s="6"/>
      <c r="Q122" s="190"/>
      <c r="R122" s="190"/>
      <c r="S122" s="190"/>
      <c r="U122" s="190"/>
      <c r="V122" s="190"/>
      <c r="W122" s="190"/>
      <c r="Y122" s="190"/>
      <c r="Z122" s="190"/>
      <c r="AA122" s="190"/>
      <c r="AC122" s="190"/>
      <c r="AD122" s="190"/>
      <c r="AE122" s="190"/>
      <c r="AG122" s="190"/>
      <c r="AH122" s="190"/>
      <c r="AI122" s="190"/>
      <c r="AL122" s="99">
        <f>IF(OR(ISBLANK($AF$95),ISBLANK(Y122)),0,$AF$95-Y122)</f>
        <v>0</v>
      </c>
      <c r="AM122" s="93">
        <f t="shared" si="12"/>
        <v>1</v>
      </c>
      <c r="AN122" s="93">
        <f t="shared" si="13"/>
        <v>1</v>
      </c>
      <c r="AO122" s="93">
        <f t="shared" si="8"/>
        <v>0</v>
      </c>
      <c r="AP122" s="93">
        <f t="shared" si="9"/>
        <v>0</v>
      </c>
      <c r="AQ122" s="97">
        <f t="shared" si="10"/>
        <v>1</v>
      </c>
      <c r="AR122" s="143"/>
      <c r="AS122" s="143"/>
      <c r="AT122" s="143"/>
      <c r="AU122" s="113"/>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row>
    <row r="123" spans="2:89" ht="15" customHeight="1" x14ac:dyDescent="0.3">
      <c r="E123" s="29"/>
      <c r="F123" s="29"/>
      <c r="G123" s="200">
        <f>Tables!$F$21</f>
        <v>9.93</v>
      </c>
      <c r="H123" s="200"/>
      <c r="K123" s="2" t="str">
        <f>Tables!$D$21</f>
        <v>(100-yr)</v>
      </c>
      <c r="L123" s="2"/>
      <c r="M123" s="191"/>
      <c r="N123" s="191"/>
      <c r="O123" s="191"/>
      <c r="P123" s="6"/>
      <c r="Q123" s="190"/>
      <c r="R123" s="190"/>
      <c r="S123" s="190"/>
      <c r="U123" s="190"/>
      <c r="V123" s="190"/>
      <c r="W123" s="190"/>
      <c r="Y123" s="190"/>
      <c r="Z123" s="190"/>
      <c r="AA123" s="190"/>
      <c r="AC123" s="190"/>
      <c r="AD123" s="190"/>
      <c r="AE123" s="190"/>
      <c r="AG123" s="190"/>
      <c r="AH123" s="190"/>
      <c r="AI123" s="190"/>
      <c r="AL123" s="99">
        <f>IF(OR(ISBLANK($AF$95),ISBLANK(Y123)),0,$AF$95-Y123)</f>
        <v>0</v>
      </c>
      <c r="AM123" s="93">
        <f t="shared" si="12"/>
        <v>1</v>
      </c>
      <c r="AN123" s="93">
        <f t="shared" si="13"/>
        <v>1</v>
      </c>
      <c r="AO123" s="93">
        <f t="shared" si="8"/>
        <v>0</v>
      </c>
      <c r="AP123" s="93">
        <f t="shared" si="9"/>
        <v>0</v>
      </c>
      <c r="AQ123" s="97">
        <f t="shared" si="10"/>
        <v>1</v>
      </c>
      <c r="AR123" s="143"/>
      <c r="AS123" s="143"/>
      <c r="AT123" s="143"/>
      <c r="AU123" s="113"/>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row>
    <row r="124" spans="2:89" ht="15" customHeight="1" x14ac:dyDescent="0.3">
      <c r="Q124" s="27" t="s">
        <v>584</v>
      </c>
    </row>
    <row r="125" spans="2:89" ht="15" customHeight="1" x14ac:dyDescent="0.3">
      <c r="B125" s="5" t="s">
        <v>22</v>
      </c>
      <c r="AM125" s="93">
        <f>IF(ISBLANK(K92),1,2)</f>
        <v>1</v>
      </c>
      <c r="AN125" s="11" t="s">
        <v>388</v>
      </c>
      <c r="AP125" s="212" t="s">
        <v>434</v>
      </c>
      <c r="AQ125" s="213"/>
      <c r="AR125" s="21"/>
      <c r="AS125" s="21"/>
      <c r="AT125" s="21"/>
    </row>
    <row r="126" spans="2:89" ht="15" customHeight="1" x14ac:dyDescent="0.3">
      <c r="B126" s="214"/>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c r="AH126" s="215"/>
      <c r="AI126" s="215"/>
      <c r="AJ126" s="216"/>
      <c r="AM126" s="99">
        <f>Tables!F26</f>
        <v>6</v>
      </c>
      <c r="AN126" s="51" t="s">
        <v>333</v>
      </c>
      <c r="AP126" s="119" t="s">
        <v>431</v>
      </c>
      <c r="AQ126" s="120" t="s">
        <v>145</v>
      </c>
      <c r="AR126" s="21"/>
      <c r="AS126" s="21"/>
      <c r="AT126" s="21"/>
    </row>
    <row r="127" spans="2:89" ht="15" customHeight="1" x14ac:dyDescent="0.3">
      <c r="B127" s="217"/>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9"/>
      <c r="AP127" s="121">
        <v>2</v>
      </c>
      <c r="AQ127" s="122">
        <f t="shared" ref="AQ127:AQ132" si="14">M118</f>
        <v>0</v>
      </c>
      <c r="AR127" s="144"/>
      <c r="AS127" s="144"/>
      <c r="AT127" s="144"/>
    </row>
    <row r="128" spans="2:89" ht="15" customHeight="1" x14ac:dyDescent="0.3">
      <c r="B128" s="217"/>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9"/>
      <c r="AP128" s="121">
        <v>5</v>
      </c>
      <c r="AQ128" s="122">
        <f t="shared" si="14"/>
        <v>0</v>
      </c>
      <c r="AR128" s="144"/>
      <c r="AS128" s="144"/>
      <c r="AT128" s="144"/>
    </row>
    <row r="129" spans="2:46" ht="15" customHeight="1" x14ac:dyDescent="0.3">
      <c r="B129" s="217"/>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9"/>
      <c r="AP129" s="121">
        <v>10</v>
      </c>
      <c r="AQ129" s="122">
        <f t="shared" si="14"/>
        <v>0</v>
      </c>
      <c r="AR129" s="144"/>
      <c r="AS129" s="144"/>
      <c r="AT129" s="144"/>
    </row>
    <row r="130" spans="2:46" ht="15" customHeight="1" x14ac:dyDescent="0.3">
      <c r="B130" s="217"/>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9"/>
      <c r="AP130" s="121">
        <v>25</v>
      </c>
      <c r="AQ130" s="122">
        <f t="shared" si="14"/>
        <v>0</v>
      </c>
      <c r="AR130" s="144"/>
      <c r="AS130" s="144"/>
      <c r="AT130" s="144"/>
    </row>
    <row r="131" spans="2:46" ht="15" customHeight="1" x14ac:dyDescent="0.3">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2"/>
      <c r="AP131" s="121">
        <v>50</v>
      </c>
      <c r="AQ131" s="122">
        <f t="shared" si="14"/>
        <v>0</v>
      </c>
      <c r="AR131" s="11" t="s">
        <v>497</v>
      </c>
    </row>
    <row r="132" spans="2:46" ht="15" customHeight="1" x14ac:dyDescent="0.3">
      <c r="AP132" s="123">
        <v>100</v>
      </c>
      <c r="AQ132" s="124">
        <f t="shared" si="14"/>
        <v>0</v>
      </c>
      <c r="AR132" s="98">
        <f>IF(AO137="No","2, 5, 10, 25, 50, and 100",IF(R151&gt;0,R151,IF(AT137=0,AP137,IF(AT137=1,AP135,IF(AT137=2,AP137,IF(AT137=3,Tables!F35,""))))))</f>
        <v>25</v>
      </c>
      <c r="AS132" s="99" t="str">
        <f>IF(AO137="No","2, 5, 10, 25, 50, and 100",IF(R151&gt;0,AL151,IF(AT137=0,AS137,IF(AT137=1,AS135,IF(AT137=2,AS137,IF(AT137=3,Tables!F36,""))))))</f>
        <v>25, 50, and 100</v>
      </c>
    </row>
    <row r="133" spans="2:46" ht="15" customHeight="1" x14ac:dyDescent="0.3">
      <c r="B133" s="1" t="s">
        <v>361</v>
      </c>
      <c r="AJ133" s="147">
        <f>IF(ISBLANK(C137),0,IF(AO137="Yes","Detain the "&amp;AS132&amp;"-yr storm events to a "&amp;AR132&amp;"-yr discharge.",""))</f>
        <v>0</v>
      </c>
      <c r="AN133" s="21" t="s">
        <v>145</v>
      </c>
      <c r="AO133" s="21" t="s">
        <v>430</v>
      </c>
      <c r="AP133" s="21" t="s">
        <v>431</v>
      </c>
      <c r="AQ133" s="21" t="s">
        <v>432</v>
      </c>
    </row>
    <row r="134" spans="2:46" ht="4.95" customHeight="1" x14ac:dyDescent="0.3"/>
    <row r="135" spans="2:46" ht="15" customHeight="1" x14ac:dyDescent="0.3">
      <c r="C135" s="56"/>
      <c r="D135" s="27" t="s">
        <v>120</v>
      </c>
      <c r="F135" s="56"/>
      <c r="G135" s="27" t="s">
        <v>121</v>
      </c>
      <c r="I135" s="27" t="s">
        <v>390</v>
      </c>
      <c r="Y135" s="139"/>
      <c r="AL135" s="93">
        <f>IF(AND(ISBLANK(C135),ISBLANK(F135)),1,2)</f>
        <v>1</v>
      </c>
      <c r="AM135" s="93">
        <f>IF(ISBLANK(C135),1,2)</f>
        <v>1</v>
      </c>
      <c r="AN135" s="99">
        <f>IF(AO135="Yes",IF($AM$135=2,$AQ$135,0),0)</f>
        <v>0</v>
      </c>
      <c r="AO135" s="93" t="str">
        <f>Tables!F29</f>
        <v>No</v>
      </c>
      <c r="AP135" s="98">
        <f>Tables!F30</f>
        <v>25</v>
      </c>
      <c r="AQ135" s="99">
        <f>VLOOKUP(AP135,$AP$127:$AQ$132,2)</f>
        <v>0</v>
      </c>
      <c r="AS135" s="98" t="str">
        <f>Tables!F31</f>
        <v>25, 50, and 100</v>
      </c>
      <c r="AT135" s="127"/>
    </row>
    <row r="136" spans="2:46" ht="4.95" customHeight="1" x14ac:dyDescent="0.3"/>
    <row r="137" spans="2:46" ht="15" customHeight="1" x14ac:dyDescent="0.3">
      <c r="C137" s="56"/>
      <c r="D137" s="27" t="s">
        <v>120</v>
      </c>
      <c r="F137" s="56"/>
      <c r="G137" s="27" t="s">
        <v>121</v>
      </c>
      <c r="I137" s="27" t="s">
        <v>391</v>
      </c>
      <c r="Y137" s="139"/>
      <c r="AL137" s="93">
        <f>IF(AND(ISBLANK(C137),ISBLANK(F137)),1,2)</f>
        <v>1</v>
      </c>
      <c r="AM137" s="93">
        <f>IF(ISBLANK(C137),1,2)</f>
        <v>1</v>
      </c>
      <c r="AN137" s="99">
        <f>IF(AO137="Yes",IF($AM$137=2,$AQ$137,0),0)</f>
        <v>0</v>
      </c>
      <c r="AO137" s="93" t="str">
        <f>Tables!F32</f>
        <v>Yes</v>
      </c>
      <c r="AP137" s="98">
        <f>IF(ISBLANK(R151),Tables!F33,R151)</f>
        <v>25</v>
      </c>
      <c r="AQ137" s="99">
        <f>VLOOKUP(AP137,$AP$127:$AQ$132,2)</f>
        <v>0</v>
      </c>
      <c r="AS137" s="99" t="str">
        <f>Tables!F34</f>
        <v>25, 50, and 100</v>
      </c>
      <c r="AT137" s="145">
        <f>IF(AND(ISBLANK(C135),ISBLANK(C137)),0,IF(AND(LEN(C135)&gt;0,ISBLANK(C137)),1,IF(AND(ISBLANK(C135),LEN(C137)&gt;0),2,3)))</f>
        <v>0</v>
      </c>
    </row>
    <row r="138" spans="2:46" ht="4.95" customHeight="1" x14ac:dyDescent="0.3">
      <c r="AL138" s="21"/>
      <c r="AM138" s="21"/>
      <c r="AN138" s="127"/>
      <c r="AO138" s="21"/>
      <c r="AP138" s="128"/>
      <c r="AQ138" s="127"/>
      <c r="AR138" s="127"/>
      <c r="AS138" s="127"/>
      <c r="AT138" s="127"/>
    </row>
    <row r="139" spans="2:46" ht="15" customHeight="1" x14ac:dyDescent="0.3">
      <c r="I139" s="56"/>
      <c r="J139" s="27" t="s">
        <v>120</v>
      </c>
      <c r="L139" s="56"/>
      <c r="M139" s="27" t="s">
        <v>121</v>
      </c>
      <c r="O139" s="27" t="s">
        <v>494</v>
      </c>
      <c r="AL139" s="93">
        <f>IF(AND(ISBLANK(I139),ISBLANK(L139)),1,2)</f>
        <v>1</v>
      </c>
      <c r="AM139" s="93">
        <f>IF(ISBLANK(L139),1,2)</f>
        <v>1</v>
      </c>
      <c r="AN139" s="127"/>
      <c r="AO139" s="21"/>
      <c r="AP139" s="128"/>
      <c r="AQ139" s="127"/>
      <c r="AR139" s="127"/>
      <c r="AS139" s="127"/>
      <c r="AT139" s="127"/>
    </row>
    <row r="140" spans="2:46" ht="4.95" customHeight="1" x14ac:dyDescent="0.3">
      <c r="AN140" s="127"/>
      <c r="AO140" s="21"/>
      <c r="AP140" s="128"/>
      <c r="AQ140" s="127"/>
      <c r="AR140" s="127"/>
      <c r="AS140" s="127"/>
      <c r="AT140" s="127"/>
    </row>
    <row r="141" spans="2:46" ht="15" customHeight="1" x14ac:dyDescent="0.3">
      <c r="I141" s="56"/>
      <c r="J141" s="27" t="s">
        <v>120</v>
      </c>
      <c r="L141" s="56"/>
      <c r="M141" s="27" t="s">
        <v>121</v>
      </c>
      <c r="O141" s="27" t="s">
        <v>495</v>
      </c>
      <c r="AL141" s="93">
        <f>IF(AND(ISBLANK(I141),ISBLANK(L141)),1,2)</f>
        <v>1</v>
      </c>
      <c r="AM141" s="93">
        <f>IF(ISBLANK(I141),1,2)</f>
        <v>1</v>
      </c>
      <c r="AN141" s="127"/>
      <c r="AO141" s="21"/>
      <c r="AP141" s="128"/>
      <c r="AQ141" s="127"/>
      <c r="AR141" s="127"/>
      <c r="AS141" s="127"/>
      <c r="AT141" s="127"/>
    </row>
    <row r="142" spans="2:46" ht="4.95" customHeight="1" x14ac:dyDescent="0.3">
      <c r="AN142" s="127"/>
      <c r="AO142" s="21"/>
      <c r="AP142" s="128"/>
      <c r="AQ142" s="127"/>
      <c r="AR142" s="127"/>
      <c r="AS142" s="127"/>
      <c r="AT142" s="127"/>
    </row>
    <row r="143" spans="2:46" ht="15" customHeight="1" x14ac:dyDescent="0.3">
      <c r="O143" s="56"/>
      <c r="P143" s="27" t="s">
        <v>120</v>
      </c>
      <c r="R143" s="56"/>
      <c r="S143" s="27" t="s">
        <v>121</v>
      </c>
      <c r="U143" s="27" t="s">
        <v>496</v>
      </c>
      <c r="AL143" s="93">
        <f>IF(AND(ISBLANK(O143),ISBLANK(R143)),1,2)</f>
        <v>1</v>
      </c>
      <c r="AM143" s="93">
        <f>IF(ISBLANK(R143),1,2)</f>
        <v>1</v>
      </c>
      <c r="AN143" s="127"/>
      <c r="AO143" s="21"/>
      <c r="AP143" s="128"/>
      <c r="AQ143" s="127"/>
      <c r="AR143" s="127"/>
      <c r="AS143" s="127"/>
      <c r="AT143" s="127"/>
    </row>
    <row r="144" spans="2:46" ht="4.95" customHeight="1" x14ac:dyDescent="0.3">
      <c r="AN144" s="127"/>
      <c r="AO144" s="21"/>
      <c r="AP144" s="128"/>
      <c r="AQ144" s="127"/>
      <c r="AR144" s="127"/>
      <c r="AS144" s="127"/>
      <c r="AT144" s="127"/>
    </row>
    <row r="145" spans="3:46" ht="15" customHeight="1" x14ac:dyDescent="0.3">
      <c r="O145" s="56"/>
      <c r="P145" s="27" t="s">
        <v>120</v>
      </c>
      <c r="R145" s="56"/>
      <c r="S145" s="27" t="s">
        <v>121</v>
      </c>
      <c r="U145" s="27" t="s">
        <v>550</v>
      </c>
      <c r="AL145" s="93">
        <f>IF(AND(ISBLANK(O145),ISBLANK(R145)),1,2)</f>
        <v>1</v>
      </c>
      <c r="AM145" s="93">
        <f>IF(ISBLANK(R145),1,2)</f>
        <v>1</v>
      </c>
      <c r="AN145" s="127"/>
      <c r="AO145" s="21"/>
      <c r="AP145" s="128"/>
      <c r="AQ145" s="127"/>
      <c r="AR145" s="127"/>
      <c r="AS145" s="127"/>
      <c r="AT145" s="127"/>
    </row>
    <row r="146" spans="3:46" ht="4.95" customHeight="1" x14ac:dyDescent="0.3">
      <c r="AL146" s="21"/>
      <c r="AM146" s="21"/>
      <c r="AN146" s="127"/>
      <c r="AO146" s="21"/>
      <c r="AP146" s="128"/>
      <c r="AQ146" s="127"/>
      <c r="AR146" s="127"/>
      <c r="AS146" s="127"/>
      <c r="AT146" s="127"/>
    </row>
    <row r="147" spans="3:46" ht="15" customHeight="1" x14ac:dyDescent="0.3">
      <c r="I147" s="56"/>
      <c r="J147" s="27" t="s">
        <v>120</v>
      </c>
      <c r="L147" s="56"/>
      <c r="M147" s="27" t="s">
        <v>121</v>
      </c>
      <c r="O147" s="27" t="str">
        <f>"The "&amp;Tables!$F$23&amp;" will allow a different post release rate design storm."</f>
        <v>The City will allow a different post release rate design storm.</v>
      </c>
      <c r="AL147" s="93">
        <f>IF(AND(ISBLANK(I147),ISBLANK(L147)),1,2)</f>
        <v>1</v>
      </c>
      <c r="AM147" s="93">
        <f>IF(ISBLANK(I147),1,2)</f>
        <v>1</v>
      </c>
      <c r="AO147" s="21"/>
      <c r="AP147" s="128"/>
      <c r="AQ147" s="127"/>
      <c r="AR147" s="127"/>
      <c r="AS147" s="127"/>
      <c r="AT147" s="127"/>
    </row>
    <row r="148" spans="3:46" ht="4.95" customHeight="1" x14ac:dyDescent="0.3">
      <c r="AO148" s="21"/>
      <c r="AP148" s="128"/>
      <c r="AQ148" s="127"/>
      <c r="AR148" s="127"/>
      <c r="AS148" s="127"/>
      <c r="AT148" s="127"/>
    </row>
    <row r="149" spans="3:46" ht="15" customHeight="1" x14ac:dyDescent="0.3">
      <c r="O149" s="56"/>
      <c r="P149" s="27" t="s">
        <v>120</v>
      </c>
      <c r="R149" s="56"/>
      <c r="S149" s="27" t="s">
        <v>121</v>
      </c>
      <c r="U149" s="27" t="str">
        <f>"Written approval from the "&amp;Tables!$F$23&amp;" is attached?"</f>
        <v>Written approval from the City is attached?</v>
      </c>
      <c r="AL149" s="93">
        <f>IF(AND(ISBLANK(O149),ISBLANK(R149)),1,2)</f>
        <v>1</v>
      </c>
      <c r="AM149" s="93">
        <f>IF(ISBLANK(R149),1,2)</f>
        <v>1</v>
      </c>
      <c r="AO149" s="21"/>
      <c r="AP149" s="128"/>
      <c r="AQ149" s="127"/>
      <c r="AR149" s="127"/>
      <c r="AS149" s="127"/>
      <c r="AT149" s="127"/>
    </row>
    <row r="150" spans="3:46" ht="4.95" customHeight="1" x14ac:dyDescent="0.3">
      <c r="AO150" s="21"/>
      <c r="AP150" s="128"/>
      <c r="AQ150" s="127"/>
      <c r="AR150" s="127"/>
      <c r="AS150" s="127"/>
      <c r="AT150" s="127"/>
    </row>
    <row r="151" spans="3:46" ht="15" customHeight="1" x14ac:dyDescent="0.3">
      <c r="R151" s="171"/>
      <c r="S151" s="170" t="s">
        <v>549</v>
      </c>
      <c r="U151" s="27" t="str">
        <f>"Post release rate design storm allowed by the "&amp;Tables!$F$23&amp;"."</f>
        <v>Post release rate design storm allowed by the City.</v>
      </c>
      <c r="AL151" s="223">
        <f>IF(ISBLANK(R151),0,VLOOKUP(R151,Storms[],2))</f>
        <v>0</v>
      </c>
      <c r="AM151" s="224"/>
      <c r="AO151" s="21"/>
      <c r="AP151" s="128"/>
      <c r="AQ151" s="127"/>
      <c r="AR151" s="127"/>
      <c r="AS151" s="127"/>
      <c r="AT151" s="127"/>
    </row>
    <row r="152" spans="3:46" ht="4.95" customHeight="1" x14ac:dyDescent="0.3">
      <c r="AL152" s="21"/>
      <c r="AM152" s="21"/>
      <c r="AN152" s="127"/>
      <c r="AO152" s="21"/>
      <c r="AP152" s="128"/>
      <c r="AQ152" s="127"/>
      <c r="AR152" s="127"/>
      <c r="AS152" s="127"/>
      <c r="AT152" s="127"/>
    </row>
    <row r="153" spans="3:46" ht="15" customHeight="1" x14ac:dyDescent="0.3">
      <c r="C153" s="56"/>
      <c r="D153" s="27" t="s">
        <v>120</v>
      </c>
      <c r="F153" s="56"/>
      <c r="G153" s="27" t="s">
        <v>121</v>
      </c>
      <c r="I153" s="27" t="str">
        <f>"Does the project have "&amp;Tables!F37&amp;" for the adjacent property?"</f>
        <v>Does the project have a Release Agreement for the adjacent property?</v>
      </c>
      <c r="AL153" s="93">
        <f>IF(AND(ISBLANK(C153),ISBLANK(F153)),1,2)</f>
        <v>1</v>
      </c>
      <c r="AM153" s="93">
        <f>IF(ISBLANK(F153),1,2)</f>
        <v>1</v>
      </c>
      <c r="AN153" s="93">
        <f>IF(ISBLANK(C153),1,2)</f>
        <v>1</v>
      </c>
      <c r="AO153" s="93">
        <f>IF(ISBLANK(C135),0,2)</f>
        <v>0</v>
      </c>
      <c r="AP153" s="93">
        <f>IF(ISBLANK(C137),0,2)</f>
        <v>0</v>
      </c>
      <c r="AQ153" s="93">
        <f>IF(ISBLANK(F153),0,SUM(AO153:AP153))</f>
        <v>0</v>
      </c>
      <c r="AR153" s="21"/>
      <c r="AS153" s="21"/>
      <c r="AT153" s="21"/>
    </row>
    <row r="154" spans="3:46" ht="4.95" customHeight="1" x14ac:dyDescent="0.3">
      <c r="AL154" s="21"/>
      <c r="AM154" s="21"/>
      <c r="AN154" s="127"/>
      <c r="AO154" s="21"/>
      <c r="AP154" s="128"/>
      <c r="AQ154" s="127"/>
      <c r="AR154" s="127"/>
      <c r="AS154" s="127"/>
      <c r="AT154" s="127"/>
    </row>
    <row r="155" spans="3:46" ht="15" customHeight="1" x14ac:dyDescent="0.3">
      <c r="C155" s="56"/>
      <c r="D155" s="27" t="s">
        <v>120</v>
      </c>
      <c r="F155" s="56"/>
      <c r="G155" s="27" t="s">
        <v>121</v>
      </c>
      <c r="I155" s="27" t="s">
        <v>362</v>
      </c>
      <c r="AL155" s="93">
        <f>IF(AND(ISBLANK(C155),ISBLANK(F155)),1,2)</f>
        <v>1</v>
      </c>
      <c r="AM155" s="93">
        <f>IF(ISBLANK(F155),1,2)</f>
        <v>1</v>
      </c>
    </row>
    <row r="156" spans="3:46" ht="4.95" customHeight="1" x14ac:dyDescent="0.3">
      <c r="AL156" s="21"/>
      <c r="AM156" s="21"/>
      <c r="AN156" s="127"/>
      <c r="AO156" s="21"/>
      <c r="AP156" s="128"/>
      <c r="AQ156" s="127"/>
      <c r="AR156" s="127"/>
      <c r="AS156" s="127"/>
      <c r="AT156" s="127"/>
    </row>
    <row r="157" spans="3:46" ht="15" customHeight="1" x14ac:dyDescent="0.3">
      <c r="C157" s="56"/>
      <c r="D157" s="27" t="s">
        <v>120</v>
      </c>
      <c r="F157" s="56"/>
      <c r="G157" s="27" t="s">
        <v>121</v>
      </c>
      <c r="I157" s="27" t="s">
        <v>393</v>
      </c>
      <c r="J157" s="4"/>
      <c r="K157" s="4"/>
      <c r="L157" s="4"/>
      <c r="AL157" s="93">
        <f>IF(AND(ISBLANK(C157),ISBLANK(F157)),1,2)</f>
        <v>1</v>
      </c>
      <c r="AM157" s="93">
        <f>IF(ISBLANK(C157),1,2)</f>
        <v>1</v>
      </c>
    </row>
    <row r="158" spans="3:46" ht="4.95" customHeight="1" x14ac:dyDescent="0.3">
      <c r="C158" s="4"/>
      <c r="D158" s="4"/>
      <c r="E158" s="4"/>
      <c r="F158" s="4"/>
      <c r="G158" s="4"/>
      <c r="H158" s="4"/>
      <c r="I158" s="4"/>
      <c r="J158" s="4"/>
      <c r="K158" s="4"/>
      <c r="L158" s="4"/>
    </row>
    <row r="159" spans="3:46" ht="15" customHeight="1" x14ac:dyDescent="0.3">
      <c r="C159" s="56"/>
      <c r="D159" s="27" t="s">
        <v>120</v>
      </c>
      <c r="F159" s="56"/>
      <c r="G159" s="27" t="s">
        <v>121</v>
      </c>
      <c r="H159" s="4"/>
      <c r="I159" s="27" t="s">
        <v>418</v>
      </c>
      <c r="AL159" s="93">
        <f>IF(ISBLANK(C159),1,2)</f>
        <v>1</v>
      </c>
      <c r="AM159" s="93">
        <f>IF(ISBLANK(F159),1,2)</f>
        <v>1</v>
      </c>
      <c r="AN159" s="93">
        <f>SUM(AL159:AM159)</f>
        <v>2</v>
      </c>
      <c r="AO159" s="21"/>
      <c r="AP159" s="21"/>
    </row>
    <row r="160" spans="3:46" ht="4.95" customHeight="1" x14ac:dyDescent="0.3"/>
    <row r="161" spans="2:36" ht="15" customHeight="1" x14ac:dyDescent="0.3"/>
    <row r="162" spans="2:36" ht="15" customHeight="1" x14ac:dyDescent="0.3"/>
    <row r="163" spans="2:36" ht="15" customHeight="1" x14ac:dyDescent="0.3"/>
    <row r="164" spans="2:36" ht="15" customHeight="1" x14ac:dyDescent="0.3">
      <c r="B164" s="179">
        <f>Tables!$F$13</f>
        <v>45931</v>
      </c>
      <c r="C164" s="179"/>
      <c r="D164" s="179"/>
      <c r="E164" s="179"/>
      <c r="F164" s="179"/>
      <c r="G164" s="179"/>
      <c r="H164" s="179"/>
      <c r="R164" s="180" t="s">
        <v>271</v>
      </c>
      <c r="S164" s="180"/>
      <c r="T164" s="180"/>
      <c r="U164" s="180"/>
    </row>
    <row r="165" spans="2:36" ht="15" customHeight="1" x14ac:dyDescent="0.3">
      <c r="C165" s="2" t="s">
        <v>1</v>
      </c>
      <c r="D165" s="182">
        <f>IF(ISBLANK($E$7),0,$E$7)</f>
        <v>0</v>
      </c>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34"/>
      <c r="AD165" s="2" t="s">
        <v>21</v>
      </c>
      <c r="AE165" s="183">
        <f>IF(ISBLANK($AE$7),0,$AE$7)</f>
        <v>0</v>
      </c>
      <c r="AF165" s="183"/>
      <c r="AG165" s="183"/>
      <c r="AH165" s="183"/>
      <c r="AI165" s="183"/>
      <c r="AJ165" s="183"/>
    </row>
    <row r="166" spans="2:36" ht="15" customHeight="1" x14ac:dyDescent="0.3">
      <c r="C166" s="35"/>
      <c r="D166" s="35"/>
      <c r="E166" s="35"/>
      <c r="F166" s="35"/>
      <c r="G166" s="35"/>
      <c r="H166" s="35"/>
      <c r="I166" s="35"/>
      <c r="J166" s="2"/>
      <c r="K166" s="2"/>
      <c r="L166" s="2"/>
      <c r="M166" s="2"/>
      <c r="N166" s="35"/>
      <c r="O166" s="34"/>
      <c r="P166" s="34"/>
      <c r="Q166" s="34"/>
      <c r="R166" s="34"/>
      <c r="S166" s="34"/>
      <c r="T166" s="34"/>
      <c r="U166" s="34"/>
      <c r="V166" s="34"/>
      <c r="W166" s="34"/>
      <c r="X166" s="34"/>
      <c r="Y166" s="34"/>
      <c r="Z166" s="34"/>
      <c r="AD166" s="2" t="s">
        <v>34</v>
      </c>
      <c r="AE166" s="184">
        <f>IF(ISBLANK($AE$8),0,$AE$8)</f>
        <v>0</v>
      </c>
      <c r="AF166" s="184"/>
      <c r="AG166" s="184"/>
      <c r="AH166" s="184"/>
      <c r="AI166" s="184"/>
      <c r="AJ166" s="184"/>
    </row>
    <row r="167" spans="2:36" ht="15" customHeight="1" x14ac:dyDescent="0.3">
      <c r="B167" s="1" t="s">
        <v>19</v>
      </c>
      <c r="C167" s="1"/>
      <c r="D167" s="1"/>
      <c r="E167" s="1"/>
      <c r="F167" s="1"/>
      <c r="G167" s="1"/>
      <c r="H167" s="1"/>
      <c r="I167" s="1"/>
    </row>
    <row r="168" spans="2:36" ht="15" customHeight="1" x14ac:dyDescent="0.3">
      <c r="B168" s="86" t="s">
        <v>300</v>
      </c>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row>
    <row r="169" spans="2:36" ht="15" customHeight="1" x14ac:dyDescent="0.3">
      <c r="B169" s="54"/>
      <c r="C169" s="59" t="s">
        <v>108</v>
      </c>
      <c r="D169" s="86" t="str">
        <f>"Is designed in accordance with the latest version of the "&amp;Tables!F23&amp;"'s requirements;"</f>
        <v>Is designed in accordance with the latest version of the City's requirements;</v>
      </c>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row>
    <row r="170" spans="2:36" ht="15" customHeight="1" x14ac:dyDescent="0.3">
      <c r="B170" s="54"/>
      <c r="C170" s="59" t="s">
        <v>108</v>
      </c>
      <c r="D170" s="86" t="s">
        <v>298</v>
      </c>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row>
    <row r="171" spans="2:36" ht="15" customHeight="1" x14ac:dyDescent="0.3">
      <c r="B171" s="54"/>
      <c r="C171" s="59" t="s">
        <v>108</v>
      </c>
      <c r="D171" s="86" t="s">
        <v>465</v>
      </c>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row>
    <row r="172" spans="2:36" ht="15" customHeight="1" x14ac:dyDescent="0.3">
      <c r="B172" s="54"/>
      <c r="C172" s="59"/>
      <c r="D172" s="86" t="s">
        <v>466</v>
      </c>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row>
    <row r="173" spans="2:36" ht="15" customHeight="1" x14ac:dyDescent="0.3">
      <c r="B173" s="54"/>
      <c r="C173" s="59" t="s">
        <v>108</v>
      </c>
      <c r="D173" s="86" t="s">
        <v>467</v>
      </c>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row>
    <row r="174" spans="2:36" ht="15" customHeight="1" x14ac:dyDescent="0.3">
      <c r="B174" s="54"/>
      <c r="C174" s="59"/>
      <c r="D174" s="86" t="s">
        <v>468</v>
      </c>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row>
    <row r="175" spans="2:36" ht="15" customHeight="1" x14ac:dyDescent="0.3">
      <c r="B175" s="54"/>
      <c r="C175" s="59" t="s">
        <v>108</v>
      </c>
      <c r="D175" s="86" t="s">
        <v>299</v>
      </c>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row>
    <row r="176" spans="2:36" ht="15" customHeight="1" x14ac:dyDescent="0.3">
      <c r="E176" s="2" t="s">
        <v>168</v>
      </c>
      <c r="F176" s="188"/>
      <c r="G176" s="188"/>
      <c r="H176" s="188"/>
      <c r="I176" s="188"/>
      <c r="J176" s="188"/>
      <c r="K176" s="188"/>
      <c r="L176" s="188"/>
      <c r="M176" s="188"/>
      <c r="N176" s="188"/>
      <c r="O176" s="188"/>
      <c r="P176" s="188"/>
      <c r="Q176" s="188"/>
      <c r="R176" s="188"/>
      <c r="S176" s="188"/>
      <c r="T176" s="188"/>
      <c r="U176" s="188"/>
      <c r="V176" s="188"/>
      <c r="W176" s="188"/>
      <c r="X176" s="188"/>
      <c r="Y176" s="188"/>
      <c r="Z176" s="188"/>
      <c r="AC176" s="2" t="s">
        <v>345</v>
      </c>
      <c r="AD176" s="2"/>
      <c r="AE176" s="2"/>
      <c r="AF176" s="2"/>
    </row>
    <row r="177" spans="2:38" ht="15" customHeight="1" x14ac:dyDescent="0.3">
      <c r="E177" s="2" t="s">
        <v>129</v>
      </c>
      <c r="F177" s="207"/>
      <c r="G177" s="207"/>
      <c r="H177" s="207"/>
      <c r="I177" s="207"/>
      <c r="J177" s="207"/>
      <c r="K177" s="207"/>
      <c r="L177" s="207"/>
      <c r="M177" s="207"/>
      <c r="N177" s="207"/>
      <c r="O177" s="207"/>
      <c r="P177" s="207"/>
      <c r="Q177" s="207"/>
      <c r="R177" s="207"/>
      <c r="S177" s="207"/>
      <c r="T177" s="207"/>
      <c r="U177" s="207"/>
      <c r="V177" s="207"/>
      <c r="W177" s="207"/>
      <c r="X177" s="207"/>
      <c r="Y177" s="207"/>
      <c r="Z177" s="207"/>
    </row>
    <row r="178" spans="2:38" ht="15" customHeight="1" x14ac:dyDescent="0.3">
      <c r="E178" s="2" t="s">
        <v>130</v>
      </c>
      <c r="F178" s="207"/>
      <c r="G178" s="207"/>
      <c r="H178" s="207"/>
      <c r="I178" s="207"/>
      <c r="J178" s="207"/>
      <c r="K178" s="207"/>
      <c r="L178" s="207"/>
      <c r="M178" s="207"/>
      <c r="N178" s="207"/>
      <c r="O178" s="207"/>
      <c r="P178" s="207"/>
      <c r="Q178" s="207"/>
      <c r="R178" s="207"/>
      <c r="S178" s="207"/>
      <c r="T178" s="207"/>
      <c r="U178" s="207"/>
      <c r="V178" s="207"/>
      <c r="W178" s="207"/>
      <c r="X178" s="207"/>
      <c r="Y178" s="207"/>
      <c r="Z178" s="207"/>
    </row>
    <row r="179" spans="2:38" ht="15" customHeight="1" x14ac:dyDescent="0.3">
      <c r="E179" s="2" t="s">
        <v>327</v>
      </c>
      <c r="F179" s="207"/>
      <c r="G179" s="207"/>
      <c r="H179" s="207"/>
      <c r="I179" s="207"/>
      <c r="J179" s="207"/>
      <c r="K179" s="207"/>
      <c r="L179" s="207"/>
      <c r="M179" s="62"/>
      <c r="N179" s="62"/>
      <c r="O179" s="102" t="s">
        <v>133</v>
      </c>
      <c r="P179" s="207"/>
      <c r="Q179" s="207"/>
      <c r="R179" s="207"/>
      <c r="S179" s="207"/>
      <c r="T179" s="62"/>
      <c r="U179" s="62"/>
      <c r="V179" s="62"/>
      <c r="W179" s="102" t="s">
        <v>134</v>
      </c>
      <c r="X179" s="194"/>
      <c r="Y179" s="194"/>
      <c r="Z179" s="194"/>
    </row>
    <row r="180" spans="2:38" ht="15" customHeight="1" x14ac:dyDescent="0.3">
      <c r="E180" s="2" t="s">
        <v>131</v>
      </c>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spans="2:38" ht="15" customHeight="1" x14ac:dyDescent="0.3">
      <c r="E181" s="2" t="s">
        <v>135</v>
      </c>
      <c r="F181" s="209"/>
      <c r="G181" s="209"/>
      <c r="H181" s="209"/>
      <c r="I181" s="209"/>
      <c r="J181" s="209"/>
      <c r="V181" s="54"/>
      <c r="W181" s="54"/>
      <c r="X181" s="54"/>
    </row>
    <row r="182" spans="2:38" ht="15" customHeight="1" x14ac:dyDescent="0.3">
      <c r="E182" s="2"/>
      <c r="F182" s="62"/>
      <c r="G182" s="62"/>
      <c r="H182" s="62"/>
      <c r="I182" s="62"/>
      <c r="J182" s="62"/>
      <c r="V182" s="54"/>
      <c r="W182" s="54"/>
      <c r="X182" s="54"/>
    </row>
    <row r="183" spans="2:38" ht="15" customHeight="1" x14ac:dyDescent="0.3">
      <c r="E183" s="2" t="s">
        <v>169</v>
      </c>
      <c r="F183" s="81"/>
      <c r="G183" s="81"/>
      <c r="H183" s="81"/>
      <c r="I183" s="81"/>
      <c r="J183" s="81"/>
      <c r="K183" s="81"/>
      <c r="L183" s="81"/>
      <c r="M183" s="81"/>
      <c r="N183" s="81"/>
      <c r="O183" s="81"/>
      <c r="P183" s="81"/>
      <c r="Q183" s="81"/>
      <c r="R183" s="81"/>
      <c r="S183" s="81"/>
      <c r="T183" s="81"/>
      <c r="U183" s="81"/>
      <c r="V183" s="54"/>
      <c r="W183" s="54"/>
      <c r="X183" s="54"/>
      <c r="AC183" s="2" t="s">
        <v>165</v>
      </c>
      <c r="AD183" s="193"/>
      <c r="AE183" s="193"/>
      <c r="AF183" s="193"/>
      <c r="AG183" s="193"/>
      <c r="AH183" s="193"/>
    </row>
    <row r="184" spans="2:38" ht="15" customHeight="1" x14ac:dyDescent="0.3"/>
    <row r="185" spans="2:38" ht="15" customHeight="1" x14ac:dyDescent="0.3">
      <c r="B185" s="39" t="s">
        <v>85</v>
      </c>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1"/>
      <c r="AL185" s="11" t="s">
        <v>328</v>
      </c>
    </row>
    <row r="186" spans="2:38" ht="15" customHeight="1" x14ac:dyDescent="0.3">
      <c r="B186" s="42"/>
      <c r="C186" s="8"/>
      <c r="D186" s="8"/>
      <c r="E186" s="8"/>
      <c r="F186" s="8"/>
      <c r="G186" s="8"/>
      <c r="H186" s="8"/>
      <c r="I186" s="8"/>
      <c r="J186" s="43" t="s">
        <v>86</v>
      </c>
      <c r="K186" s="43"/>
      <c r="L186" s="44" t="s">
        <v>182</v>
      </c>
      <c r="M186" s="43"/>
      <c r="N186" s="43"/>
      <c r="O186" s="43"/>
      <c r="P186" s="44"/>
      <c r="Q186" s="8"/>
      <c r="R186" s="8"/>
      <c r="S186" s="8"/>
      <c r="T186" s="8"/>
      <c r="U186" s="8"/>
      <c r="V186" s="8"/>
      <c r="W186" s="8"/>
      <c r="X186" s="8"/>
      <c r="Y186" s="8"/>
      <c r="Z186" s="8"/>
      <c r="AA186" s="8"/>
      <c r="AB186" s="8"/>
      <c r="AC186" s="8"/>
      <c r="AD186" s="8"/>
      <c r="AE186" s="8"/>
      <c r="AF186" s="8"/>
      <c r="AG186" s="8"/>
      <c r="AH186" s="8"/>
      <c r="AI186" s="8"/>
      <c r="AJ186" s="45"/>
      <c r="AL186" s="93">
        <f>SUM(AL188:AL206)</f>
        <v>15</v>
      </c>
    </row>
    <row r="187" spans="2:38" ht="15" customHeight="1" x14ac:dyDescent="0.3">
      <c r="B187" s="42"/>
      <c r="C187" s="8"/>
      <c r="D187" s="8"/>
      <c r="E187" s="8"/>
      <c r="F187" s="8"/>
      <c r="G187" s="8"/>
      <c r="H187" s="8"/>
      <c r="I187" s="8"/>
      <c r="J187" s="9" t="s">
        <v>463</v>
      </c>
      <c r="K187" s="9"/>
      <c r="L187" s="8" t="str">
        <f>IF(ISBLANK(AD6),Tables!J21,"")</f>
        <v>Parcel No. has not been provided</v>
      </c>
      <c r="M187" s="43"/>
      <c r="N187" s="43"/>
      <c r="O187" s="43"/>
      <c r="P187" s="44"/>
      <c r="Q187" s="8"/>
      <c r="R187" s="8"/>
      <c r="S187" s="8"/>
      <c r="T187" s="8"/>
      <c r="U187" s="8"/>
      <c r="V187" s="8"/>
      <c r="W187" s="8"/>
      <c r="X187" s="8"/>
      <c r="Y187" s="8"/>
      <c r="Z187" s="8"/>
      <c r="AA187" s="8"/>
      <c r="AB187" s="8"/>
      <c r="AC187" s="8"/>
      <c r="AD187" s="8"/>
      <c r="AE187" s="8"/>
      <c r="AF187" s="8"/>
      <c r="AG187" s="8"/>
      <c r="AH187" s="8"/>
      <c r="AI187" s="8"/>
      <c r="AJ187" s="45"/>
      <c r="AL187" s="93">
        <f>IF(L187="",0,1)</f>
        <v>1</v>
      </c>
    </row>
    <row r="188" spans="2:38" ht="15" customHeight="1" x14ac:dyDescent="0.3">
      <c r="B188" s="42"/>
      <c r="C188" s="8"/>
      <c r="D188" s="8"/>
      <c r="E188" s="8"/>
      <c r="F188" s="8"/>
      <c r="G188" s="8"/>
      <c r="H188" s="8"/>
      <c r="I188" s="8"/>
      <c r="J188" s="9" t="s">
        <v>87</v>
      </c>
      <c r="K188" s="9"/>
      <c r="L188" s="8" t="str">
        <f>IF(AND(AL28&lt;6,AM28=6),Tables!J2,IF(AND(AL28=6,AM28=6),"",Tables!J2))</f>
        <v>Pre Total not compeleted</v>
      </c>
      <c r="M188" s="9"/>
      <c r="N188" s="9"/>
      <c r="O188" s="9"/>
      <c r="P188" s="8"/>
      <c r="Q188" s="8"/>
      <c r="R188" s="8"/>
      <c r="S188" s="8"/>
      <c r="T188" s="8"/>
      <c r="U188" s="8"/>
      <c r="V188" s="8"/>
      <c r="W188" s="8"/>
      <c r="X188" s="8"/>
      <c r="Y188" s="8"/>
      <c r="Z188" s="8"/>
      <c r="AA188" s="8"/>
      <c r="AB188" s="8"/>
      <c r="AC188" s="8"/>
      <c r="AD188" s="8"/>
      <c r="AE188" s="8"/>
      <c r="AF188" s="8"/>
      <c r="AG188" s="8"/>
      <c r="AH188" s="8"/>
      <c r="AI188" s="8"/>
      <c r="AJ188" s="45"/>
      <c r="AL188" s="93">
        <f>IF(L188="",0,1)</f>
        <v>1</v>
      </c>
    </row>
    <row r="189" spans="2:38" ht="15" customHeight="1" x14ac:dyDescent="0.3">
      <c r="B189" s="42"/>
      <c r="C189" s="8"/>
      <c r="D189" s="8"/>
      <c r="E189" s="8"/>
      <c r="F189" s="8"/>
      <c r="G189" s="8"/>
      <c r="H189" s="8"/>
      <c r="I189" s="8"/>
      <c r="J189" s="9" t="s">
        <v>88</v>
      </c>
      <c r="K189" s="9"/>
      <c r="L189" s="8" t="str">
        <f>IF(AND(AL41&lt;6,AM41=6),Tables!J3,IF(AND(AL41=6,AM41=6),"",Tables!J3))</f>
        <v>Post Total not completed</v>
      </c>
      <c r="M189" s="9"/>
      <c r="N189" s="9"/>
      <c r="O189" s="9"/>
      <c r="P189" s="8"/>
      <c r="Q189" s="8"/>
      <c r="R189" s="8"/>
      <c r="S189" s="8"/>
      <c r="T189" s="8"/>
      <c r="U189" s="8"/>
      <c r="V189" s="8"/>
      <c r="W189" s="8"/>
      <c r="X189" s="8"/>
      <c r="Y189" s="8"/>
      <c r="Z189" s="8"/>
      <c r="AA189" s="8"/>
      <c r="AB189" s="8"/>
      <c r="AC189" s="8"/>
      <c r="AD189" s="8"/>
      <c r="AE189" s="8"/>
      <c r="AF189" s="8"/>
      <c r="AG189" s="8"/>
      <c r="AH189" s="8"/>
      <c r="AI189" s="8"/>
      <c r="AJ189" s="45"/>
      <c r="AL189" s="93">
        <f t="shared" ref="AL189:AL206" si="15">IF(L189="",0,1)</f>
        <v>1</v>
      </c>
    </row>
    <row r="190" spans="2:38" ht="15" customHeight="1" x14ac:dyDescent="0.3">
      <c r="B190" s="42"/>
      <c r="C190" s="8"/>
      <c r="D190" s="82"/>
      <c r="E190" s="8"/>
      <c r="F190" s="8"/>
      <c r="G190" s="8"/>
      <c r="H190" s="8"/>
      <c r="I190" s="8"/>
      <c r="J190" s="96" t="s">
        <v>273</v>
      </c>
      <c r="K190" s="9"/>
      <c r="L190" s="8"/>
      <c r="M190" s="9"/>
      <c r="N190" s="9"/>
      <c r="O190" s="9"/>
      <c r="P190" s="8"/>
      <c r="Q190" s="8"/>
      <c r="R190" s="8"/>
      <c r="S190" s="8"/>
      <c r="T190" s="8"/>
      <c r="U190" s="8"/>
      <c r="V190" s="8"/>
      <c r="W190" s="8"/>
      <c r="X190" s="8"/>
      <c r="Y190" s="8"/>
      <c r="Z190" s="8"/>
      <c r="AA190" s="8"/>
      <c r="AB190" s="8"/>
      <c r="AC190" s="8"/>
      <c r="AD190" s="8"/>
      <c r="AE190" s="8"/>
      <c r="AF190" s="8"/>
      <c r="AG190" s="8"/>
      <c r="AH190" s="8"/>
      <c r="AI190" s="8"/>
      <c r="AJ190" s="45"/>
      <c r="AL190" s="93">
        <f t="shared" si="15"/>
        <v>0</v>
      </c>
    </row>
    <row r="191" spans="2:38" ht="15" customHeight="1" x14ac:dyDescent="0.3">
      <c r="B191" s="42"/>
      <c r="C191" s="8"/>
      <c r="D191" s="8"/>
      <c r="E191" s="8"/>
      <c r="F191" s="8"/>
      <c r="G191" s="8"/>
      <c r="H191" s="8"/>
      <c r="I191" s="8"/>
      <c r="J191" s="9" t="s">
        <v>277</v>
      </c>
      <c r="K191" s="9"/>
      <c r="L191" s="8" t="str">
        <f>IF(ISBLANK(H63),Tables!J11,(IF(H63&gt;5,Tables!J11,"")))</f>
        <v>Drainage area exceeds the recommended 5.0 acre maximum</v>
      </c>
      <c r="M191" s="9"/>
      <c r="N191" s="9"/>
      <c r="O191" s="9"/>
      <c r="P191" s="8"/>
      <c r="Q191" s="8"/>
      <c r="R191" s="8"/>
      <c r="S191" s="8"/>
      <c r="T191" s="8"/>
      <c r="U191" s="8"/>
      <c r="V191" s="8"/>
      <c r="W191" s="8"/>
      <c r="X191" s="8"/>
      <c r="Y191" s="8"/>
      <c r="Z191" s="8"/>
      <c r="AA191" s="8"/>
      <c r="AB191" s="8"/>
      <c r="AC191" s="8"/>
      <c r="AD191" s="8"/>
      <c r="AE191" s="8"/>
      <c r="AF191" s="8"/>
      <c r="AG191" s="8"/>
      <c r="AH191" s="8"/>
      <c r="AI191" s="8"/>
      <c r="AJ191" s="45"/>
      <c r="AL191" s="93">
        <f t="shared" si="15"/>
        <v>1</v>
      </c>
    </row>
    <row r="192" spans="2:38" ht="15" customHeight="1" x14ac:dyDescent="0.3">
      <c r="B192" s="42"/>
      <c r="C192" s="8"/>
      <c r="D192" s="8"/>
      <c r="E192" s="8"/>
      <c r="F192" s="8"/>
      <c r="G192" s="8"/>
      <c r="H192" s="8"/>
      <c r="I192" s="8"/>
      <c r="J192" s="9" t="s">
        <v>278</v>
      </c>
      <c r="K192" s="9"/>
      <c r="L192" s="8" t="str">
        <f>IF(ISBLANK(AC63),Tables!J12,IF(AC63&gt;5,Tables!J12,""))</f>
        <v>Land slope exceeds the recommended 5% maximum</v>
      </c>
      <c r="M192" s="9"/>
      <c r="N192" s="9"/>
      <c r="O192" s="9"/>
      <c r="P192" s="8"/>
      <c r="Q192" s="8"/>
      <c r="R192" s="8"/>
      <c r="S192" s="8"/>
      <c r="T192" s="8"/>
      <c r="U192" s="8"/>
      <c r="V192" s="8"/>
      <c r="W192" s="8"/>
      <c r="X192" s="8"/>
      <c r="Y192" s="8"/>
      <c r="Z192" s="8"/>
      <c r="AA192" s="8"/>
      <c r="AB192" s="8"/>
      <c r="AC192" s="8"/>
      <c r="AD192" s="8"/>
      <c r="AE192" s="8"/>
      <c r="AF192" s="8"/>
      <c r="AG192" s="8"/>
      <c r="AH192" s="8"/>
      <c r="AI192" s="8"/>
      <c r="AJ192" s="45"/>
      <c r="AL192" s="93">
        <f t="shared" si="15"/>
        <v>1</v>
      </c>
    </row>
    <row r="193" spans="2:38" ht="15" customHeight="1" x14ac:dyDescent="0.3">
      <c r="B193" s="42"/>
      <c r="C193" s="8"/>
      <c r="D193" s="8"/>
      <c r="E193" s="8"/>
      <c r="F193" s="8"/>
      <c r="G193" s="8"/>
      <c r="H193" s="8"/>
      <c r="I193" s="8"/>
      <c r="J193" s="9" t="s">
        <v>279</v>
      </c>
      <c r="K193" s="9"/>
      <c r="L193" s="8" t="str">
        <f>IF(ISBLANK(W88),Tables!J13,IF(W88&gt;96,Tables!J13,""))</f>
        <v>Drain time exceeds the recommended 96 hours</v>
      </c>
      <c r="M193" s="9"/>
      <c r="N193" s="9"/>
      <c r="O193" s="9"/>
      <c r="P193" s="8"/>
      <c r="Q193" s="8"/>
      <c r="R193" s="8"/>
      <c r="S193" s="8"/>
      <c r="T193" s="8"/>
      <c r="U193" s="8"/>
      <c r="V193" s="8"/>
      <c r="W193" s="8"/>
      <c r="X193" s="8"/>
      <c r="Y193" s="8"/>
      <c r="Z193" s="8"/>
      <c r="AA193" s="8"/>
      <c r="AB193" s="8"/>
      <c r="AC193" s="8"/>
      <c r="AD193" s="8"/>
      <c r="AE193" s="8"/>
      <c r="AF193" s="8"/>
      <c r="AG193" s="8"/>
      <c r="AH193" s="8"/>
      <c r="AI193" s="8"/>
      <c r="AJ193" s="45"/>
      <c r="AL193" s="93">
        <f t="shared" si="15"/>
        <v>1</v>
      </c>
    </row>
    <row r="194" spans="2:38" ht="15" customHeight="1" x14ac:dyDescent="0.3">
      <c r="B194" s="42"/>
      <c r="C194" s="8"/>
      <c r="D194" s="8"/>
      <c r="E194" s="8"/>
      <c r="F194" s="8"/>
      <c r="G194" s="8"/>
      <c r="H194" s="8"/>
      <c r="I194" s="8"/>
      <c r="J194" s="9" t="s">
        <v>280</v>
      </c>
      <c r="K194" s="9"/>
      <c r="L194" s="8" t="str">
        <f>IF(ISBLANK(W90),Tables!J14,IF(W90&gt;12,Tables!J14,""))</f>
        <v>Drain time exceeds the recommended 12 hours</v>
      </c>
      <c r="M194" s="9"/>
      <c r="N194" s="9"/>
      <c r="O194" s="9"/>
      <c r="P194" s="8"/>
      <c r="Q194" s="8"/>
      <c r="R194" s="8"/>
      <c r="S194" s="8"/>
      <c r="T194" s="8"/>
      <c r="U194" s="8"/>
      <c r="V194" s="8"/>
      <c r="W194" s="8"/>
      <c r="X194" s="8"/>
      <c r="Y194" s="8"/>
      <c r="Z194" s="8"/>
      <c r="AA194" s="8"/>
      <c r="AB194" s="8"/>
      <c r="AC194" s="8"/>
      <c r="AD194" s="8"/>
      <c r="AE194" s="8"/>
      <c r="AF194" s="8"/>
      <c r="AG194" s="8"/>
      <c r="AH194" s="8"/>
      <c r="AI194" s="8"/>
      <c r="AJ194" s="45"/>
      <c r="AL194" s="93">
        <f t="shared" si="15"/>
        <v>1</v>
      </c>
    </row>
    <row r="195" spans="2:38" ht="15" customHeight="1" x14ac:dyDescent="0.3">
      <c r="B195" s="42"/>
      <c r="C195" s="8"/>
      <c r="D195" s="8"/>
      <c r="E195" s="8"/>
      <c r="F195" s="8"/>
      <c r="G195" s="8"/>
      <c r="H195" s="8"/>
      <c r="I195" s="8"/>
      <c r="J195" s="9" t="s">
        <v>89</v>
      </c>
      <c r="K195" s="9"/>
      <c r="L195" s="8" t="str">
        <f>IF(AO90&gt;1,Tables!J4,IF(AO90=0,"",IF(AM92&lt;6,Tables!J4,"")))</f>
        <v>Emergency Spillway Section not completed</v>
      </c>
      <c r="M195" s="9"/>
      <c r="N195" s="9"/>
      <c r="O195" s="9"/>
      <c r="P195" s="8"/>
      <c r="Q195" s="8"/>
      <c r="R195" s="8"/>
      <c r="S195" s="8"/>
      <c r="T195" s="8"/>
      <c r="U195" s="8"/>
      <c r="V195" s="8"/>
      <c r="W195" s="8"/>
      <c r="X195" s="8"/>
      <c r="Y195" s="8"/>
      <c r="Z195" s="8"/>
      <c r="AA195" s="8"/>
      <c r="AB195" s="8"/>
      <c r="AC195" s="8"/>
      <c r="AD195" s="8"/>
      <c r="AE195" s="8"/>
      <c r="AF195" s="8"/>
      <c r="AG195" s="8"/>
      <c r="AH195" s="8"/>
      <c r="AI195" s="8"/>
      <c r="AJ195" s="45"/>
      <c r="AL195" s="93">
        <f t="shared" si="15"/>
        <v>1</v>
      </c>
    </row>
    <row r="196" spans="2:38" ht="15" customHeight="1" x14ac:dyDescent="0.3">
      <c r="B196" s="42"/>
      <c r="C196" s="8"/>
      <c r="D196" s="8"/>
      <c r="E196" s="8"/>
      <c r="F196" s="8"/>
      <c r="G196" s="8"/>
      <c r="H196" s="8"/>
      <c r="I196" s="8"/>
      <c r="J196" s="9" t="s">
        <v>493</v>
      </c>
      <c r="K196" s="9"/>
      <c r="L196" s="8" t="str">
        <f>IF(AM97&gt;0,Tables!J22,"")</f>
        <v>Outlet protection section not completed</v>
      </c>
      <c r="M196" s="9"/>
      <c r="N196" s="9"/>
      <c r="O196" s="9"/>
      <c r="P196" s="8"/>
      <c r="Q196" s="8"/>
      <c r="R196" s="8"/>
      <c r="S196" s="8"/>
      <c r="T196" s="8"/>
      <c r="U196" s="8"/>
      <c r="V196" s="8"/>
      <c r="W196" s="8"/>
      <c r="X196" s="8"/>
      <c r="Y196" s="8"/>
      <c r="Z196" s="8"/>
      <c r="AA196" s="8"/>
      <c r="AB196" s="8"/>
      <c r="AC196" s="8"/>
      <c r="AD196" s="8"/>
      <c r="AE196" s="8"/>
      <c r="AF196" s="8"/>
      <c r="AG196" s="8"/>
      <c r="AH196" s="8"/>
      <c r="AI196" s="8"/>
      <c r="AJ196" s="45"/>
      <c r="AL196" s="93"/>
    </row>
    <row r="197" spans="2:38" ht="15" customHeight="1" x14ac:dyDescent="0.3">
      <c r="B197" s="42"/>
      <c r="C197" s="8"/>
      <c r="D197" s="8"/>
      <c r="E197" s="8"/>
      <c r="F197" s="8"/>
      <c r="G197" s="8"/>
      <c r="H197" s="8"/>
      <c r="I197" s="8"/>
      <c r="J197" s="9" t="s">
        <v>109</v>
      </c>
      <c r="K197" s="9"/>
      <c r="L197" s="8" t="str">
        <f>IF(AM114&lt;2,Tables!J8,"")</f>
        <v>Latitude and/or Longitude not provided</v>
      </c>
      <c r="M197" s="9"/>
      <c r="N197" s="9"/>
      <c r="O197" s="9"/>
      <c r="P197" s="8"/>
      <c r="Q197" s="8"/>
      <c r="R197" s="8"/>
      <c r="S197" s="8"/>
      <c r="T197" s="8"/>
      <c r="U197" s="8"/>
      <c r="V197" s="8"/>
      <c r="W197" s="8"/>
      <c r="X197" s="8"/>
      <c r="Y197" s="8"/>
      <c r="Z197" s="8"/>
      <c r="AA197" s="8"/>
      <c r="AB197" s="8"/>
      <c r="AC197" s="8"/>
      <c r="AD197" s="8"/>
      <c r="AE197" s="8"/>
      <c r="AF197" s="8"/>
      <c r="AG197" s="8"/>
      <c r="AH197" s="8"/>
      <c r="AI197" s="8"/>
      <c r="AJ197" s="45"/>
      <c r="AL197" s="93">
        <f t="shared" si="15"/>
        <v>1</v>
      </c>
    </row>
    <row r="198" spans="2:38" ht="15" customHeight="1" x14ac:dyDescent="0.3">
      <c r="B198" s="42"/>
      <c r="C198" s="8"/>
      <c r="D198" s="8"/>
      <c r="E198" s="8"/>
      <c r="F198" s="8"/>
      <c r="G198" s="8"/>
      <c r="H198" s="8"/>
      <c r="I198" s="8"/>
      <c r="J198" s="9"/>
      <c r="K198" s="9"/>
      <c r="L198" s="8" t="str">
        <f>IF(AND(AQ114=1,AQ115=1),Tables!$J$17,IF(OR(AQ114=3,AQ115=3),Tables!$J$17,""))</f>
        <v>Latitude and/or Longitude has been entered as text.  Change to a number.</v>
      </c>
      <c r="M198" s="9"/>
      <c r="N198" s="9"/>
      <c r="O198" s="9"/>
      <c r="P198" s="8"/>
      <c r="Q198" s="8"/>
      <c r="R198" s="8"/>
      <c r="S198" s="8"/>
      <c r="T198" s="8"/>
      <c r="U198" s="8"/>
      <c r="V198" s="8"/>
      <c r="W198" s="8"/>
      <c r="X198" s="8"/>
      <c r="Y198" s="8"/>
      <c r="Z198" s="8"/>
      <c r="AA198" s="8"/>
      <c r="AB198" s="8"/>
      <c r="AC198" s="8"/>
      <c r="AD198" s="8"/>
      <c r="AE198" s="8"/>
      <c r="AF198" s="8"/>
      <c r="AG198" s="8"/>
      <c r="AH198" s="8"/>
      <c r="AI198" s="8"/>
      <c r="AJ198" s="45"/>
      <c r="AL198" s="93">
        <f t="shared" si="15"/>
        <v>1</v>
      </c>
    </row>
    <row r="199" spans="2:38" ht="15" customHeight="1" x14ac:dyDescent="0.3">
      <c r="B199" s="42"/>
      <c r="C199" s="8"/>
      <c r="D199" s="8"/>
      <c r="E199" s="8"/>
      <c r="F199" s="8"/>
      <c r="G199" s="8"/>
      <c r="H199" s="8"/>
      <c r="I199" s="8"/>
      <c r="J199" s="9" t="s">
        <v>142</v>
      </c>
      <c r="K199" s="9"/>
      <c r="L199" s="8" t="str">
        <f>IF(AM111=2,Tables!J9,IF(AM110=1,"",Tables!J9))</f>
        <v>WQv Required &gt; WQv Provided</v>
      </c>
      <c r="M199" s="9"/>
      <c r="N199" s="9"/>
      <c r="O199" s="9"/>
      <c r="P199" s="8"/>
      <c r="Q199" s="8"/>
      <c r="R199" s="8"/>
      <c r="S199" s="8"/>
      <c r="T199" s="8"/>
      <c r="U199" s="8"/>
      <c r="V199" s="8"/>
      <c r="W199" s="8"/>
      <c r="X199" s="8"/>
      <c r="Y199" s="8"/>
      <c r="Z199" s="8"/>
      <c r="AA199" s="8"/>
      <c r="AB199" s="8"/>
      <c r="AC199" s="8"/>
      <c r="AD199" s="8"/>
      <c r="AE199" s="8"/>
      <c r="AF199" s="8"/>
      <c r="AG199" s="8"/>
      <c r="AH199" s="8"/>
      <c r="AI199" s="8"/>
      <c r="AJ199" s="45"/>
      <c r="AL199" s="93">
        <f t="shared" si="15"/>
        <v>1</v>
      </c>
    </row>
    <row r="200" spans="2:38" ht="15" customHeight="1" x14ac:dyDescent="0.3">
      <c r="B200" s="42"/>
      <c r="C200" s="8"/>
      <c r="D200" s="82"/>
      <c r="E200" s="8"/>
      <c r="F200" s="8"/>
      <c r="G200" s="8"/>
      <c r="H200" s="8"/>
      <c r="I200" s="8"/>
      <c r="J200" s="96" t="s">
        <v>274</v>
      </c>
      <c r="K200" s="9"/>
      <c r="L200" s="8"/>
      <c r="M200" s="9"/>
      <c r="N200" s="9"/>
      <c r="O200" s="9"/>
      <c r="P200" s="8"/>
      <c r="Q200" s="8"/>
      <c r="R200" s="8"/>
      <c r="S200" s="8"/>
      <c r="T200" s="8"/>
      <c r="U200" s="8"/>
      <c r="V200" s="8"/>
      <c r="W200" s="8"/>
      <c r="X200" s="8"/>
      <c r="Y200" s="8"/>
      <c r="Z200" s="8"/>
      <c r="AA200" s="8"/>
      <c r="AB200" s="8"/>
      <c r="AC200" s="8"/>
      <c r="AD200" s="8"/>
      <c r="AE200" s="8"/>
      <c r="AF200" s="8"/>
      <c r="AG200" s="8"/>
      <c r="AH200" s="8"/>
      <c r="AI200" s="8"/>
      <c r="AJ200" s="45"/>
      <c r="AL200" s="93">
        <f t="shared" si="15"/>
        <v>0</v>
      </c>
    </row>
    <row r="201" spans="2:38" ht="15" customHeight="1" x14ac:dyDescent="0.3">
      <c r="B201" s="42"/>
      <c r="C201" s="8"/>
      <c r="D201" s="8"/>
      <c r="E201" s="8"/>
      <c r="F201" s="8"/>
      <c r="G201" s="8"/>
      <c r="H201" s="8"/>
      <c r="I201" s="8"/>
      <c r="J201" s="9" t="s">
        <v>84</v>
      </c>
      <c r="K201" s="9"/>
      <c r="L201" s="8" t="str">
        <f>IF(AL117=0,"",Tables!J7)</f>
        <v>Max Stage for 2, 5, 10, 25, and/or 50-year storm  &gt; emergency spillway crest elevation</v>
      </c>
      <c r="M201" s="9"/>
      <c r="N201" s="9"/>
      <c r="O201" s="9"/>
      <c r="P201" s="8"/>
      <c r="Q201" s="8"/>
      <c r="R201" s="8"/>
      <c r="S201" s="8"/>
      <c r="T201" s="8"/>
      <c r="U201" s="8"/>
      <c r="V201" s="8"/>
      <c r="W201" s="8"/>
      <c r="X201" s="8"/>
      <c r="Y201" s="8"/>
      <c r="Z201" s="8"/>
      <c r="AA201" s="8"/>
      <c r="AB201" s="8"/>
      <c r="AC201" s="8"/>
      <c r="AD201" s="8"/>
      <c r="AE201" s="8"/>
      <c r="AF201" s="8"/>
      <c r="AG201" s="8"/>
      <c r="AH201" s="8"/>
      <c r="AI201" s="8"/>
      <c r="AJ201" s="45"/>
      <c r="AL201" s="93">
        <f t="shared" si="15"/>
        <v>1</v>
      </c>
    </row>
    <row r="202" spans="2:38" ht="15" customHeight="1" x14ac:dyDescent="0.3">
      <c r="B202" s="42"/>
      <c r="C202" s="8"/>
      <c r="D202" s="8"/>
      <c r="E202" s="8"/>
      <c r="F202" s="8"/>
      <c r="G202" s="8"/>
      <c r="H202" s="8"/>
      <c r="I202" s="8"/>
      <c r="J202" s="9" t="s">
        <v>285</v>
      </c>
      <c r="K202" s="9"/>
      <c r="L202" s="8" t="str">
        <f>IF(AM117&gt;0,Tables!J6,"")</f>
        <v>Velocity &gt; 6 ft/s</v>
      </c>
      <c r="M202" s="9"/>
      <c r="N202" s="9"/>
      <c r="O202" s="9"/>
      <c r="P202" s="8"/>
      <c r="Q202" s="8"/>
      <c r="R202" s="8"/>
      <c r="S202" s="8"/>
      <c r="T202" s="8"/>
      <c r="U202" s="8"/>
      <c r="V202" s="8"/>
      <c r="W202" s="8"/>
      <c r="X202" s="8"/>
      <c r="Y202" s="8"/>
      <c r="Z202" s="8"/>
      <c r="AA202" s="8"/>
      <c r="AB202" s="8"/>
      <c r="AC202" s="8"/>
      <c r="AD202" s="8"/>
      <c r="AE202" s="8"/>
      <c r="AF202" s="8"/>
      <c r="AG202" s="8"/>
      <c r="AH202" s="8"/>
      <c r="AI202" s="8"/>
      <c r="AJ202" s="45"/>
      <c r="AL202" s="93">
        <f t="shared" si="15"/>
        <v>1</v>
      </c>
    </row>
    <row r="203" spans="2:38" ht="15" customHeight="1" x14ac:dyDescent="0.3">
      <c r="B203" s="42"/>
      <c r="C203" s="8"/>
      <c r="D203" s="8"/>
      <c r="E203" s="8"/>
      <c r="F203" s="8"/>
      <c r="G203" s="8"/>
      <c r="H203" s="8"/>
      <c r="I203" s="8"/>
      <c r="J203" s="9" t="s">
        <v>90</v>
      </c>
      <c r="K203" s="9"/>
      <c r="L203" s="8" t="str">
        <f>IF(OR(AN117&gt;0,AO117&gt;0),Tables!J5,"")</f>
        <v>Total Post Q &gt; Pre Q</v>
      </c>
      <c r="M203" s="9"/>
      <c r="N203" s="9"/>
      <c r="O203" s="9"/>
      <c r="P203" s="8"/>
      <c r="Q203" s="8"/>
      <c r="R203" s="8"/>
      <c r="S203" s="8"/>
      <c r="T203" s="8"/>
      <c r="U203" s="8"/>
      <c r="V203" s="8"/>
      <c r="W203" s="8"/>
      <c r="X203" s="8"/>
      <c r="Y203" s="8"/>
      <c r="Z203" s="8"/>
      <c r="AA203" s="8"/>
      <c r="AB203" s="8"/>
      <c r="AC203" s="8"/>
      <c r="AD203" s="8"/>
      <c r="AE203" s="8"/>
      <c r="AF203" s="8"/>
      <c r="AG203" s="8"/>
      <c r="AH203" s="8"/>
      <c r="AI203" s="8"/>
      <c r="AJ203" s="45"/>
      <c r="AL203" s="93">
        <f t="shared" si="15"/>
        <v>1</v>
      </c>
    </row>
    <row r="204" spans="2:38" ht="15" customHeight="1" x14ac:dyDescent="0.3">
      <c r="B204" s="42"/>
      <c r="C204" s="8"/>
      <c r="D204" s="8"/>
      <c r="E204" s="8"/>
      <c r="F204" s="8"/>
      <c r="G204" s="8"/>
      <c r="H204" s="8"/>
      <c r="I204" s="8"/>
      <c r="J204" s="9"/>
      <c r="K204" s="9"/>
      <c r="L204" s="8" t="str">
        <f>IF($AQ$117&gt;0,Tables!$J$15,"")</f>
        <v>Total Post Q is &lt; -0.50 ft3/s of Pre Q</v>
      </c>
      <c r="M204" s="9"/>
      <c r="N204" s="9"/>
      <c r="O204" s="9"/>
      <c r="P204" s="8"/>
      <c r="Q204" s="8"/>
      <c r="R204" s="8"/>
      <c r="S204" s="8"/>
      <c r="T204" s="8"/>
      <c r="U204" s="8"/>
      <c r="V204" s="8"/>
      <c r="W204" s="8"/>
      <c r="X204" s="8"/>
      <c r="Y204" s="8"/>
      <c r="Z204" s="8"/>
      <c r="AA204" s="8"/>
      <c r="AB204" s="8"/>
      <c r="AC204" s="8"/>
      <c r="AD204" s="8"/>
      <c r="AE204" s="8"/>
      <c r="AF204" s="8"/>
      <c r="AG204" s="8"/>
      <c r="AH204" s="8"/>
      <c r="AI204" s="8"/>
      <c r="AJ204" s="45"/>
      <c r="AL204" s="93">
        <f t="shared" si="15"/>
        <v>1</v>
      </c>
    </row>
    <row r="205" spans="2:38" ht="15" customHeight="1" x14ac:dyDescent="0.3">
      <c r="B205" s="42"/>
      <c r="C205" s="8"/>
      <c r="D205" s="8"/>
      <c r="E205" s="8"/>
      <c r="F205" s="8"/>
      <c r="G205" s="8"/>
      <c r="H205" s="8"/>
      <c r="I205" s="8"/>
      <c r="J205" s="9"/>
      <c r="K205" s="9"/>
      <c r="L205" s="8" t="str">
        <f>IF(AO135="Yes",IF(AND(ISBLANK(C135),ISBLANK(F135)),Tables!$J18,IF($AO$117&gt;0,Tables!$J18,"")),"")</f>
        <v/>
      </c>
      <c r="M205" s="9"/>
      <c r="N205" s="9"/>
      <c r="O205" s="9"/>
      <c r="P205" s="8"/>
      <c r="Q205" s="8"/>
      <c r="R205" s="8"/>
      <c r="S205" s="8"/>
      <c r="T205" s="8"/>
      <c r="U205" s="8"/>
      <c r="V205" s="8"/>
      <c r="W205" s="8"/>
      <c r="X205" s="8"/>
      <c r="Y205" s="8"/>
      <c r="Z205" s="8"/>
      <c r="AA205" s="8"/>
      <c r="AB205" s="8"/>
      <c r="AC205" s="8"/>
      <c r="AD205" s="8"/>
      <c r="AE205" s="8"/>
      <c r="AF205" s="8"/>
      <c r="AG205" s="8"/>
      <c r="AH205" s="8"/>
      <c r="AI205" s="8"/>
      <c r="AJ205" s="45"/>
      <c r="AL205" s="93">
        <f t="shared" si="15"/>
        <v>0</v>
      </c>
    </row>
    <row r="206" spans="2:38" ht="15" customHeight="1" x14ac:dyDescent="0.3">
      <c r="B206" s="46"/>
      <c r="C206" s="47"/>
      <c r="D206" s="47"/>
      <c r="E206" s="47"/>
      <c r="F206" s="47"/>
      <c r="G206" s="47"/>
      <c r="H206" s="47"/>
      <c r="I206" s="47"/>
      <c r="J206" s="48"/>
      <c r="K206" s="48"/>
      <c r="L206" s="47" t="str">
        <f>IF(AO137="Yes",IF(AND(ISBLANK(C137),ISBLANK(F137)),Tables!$J19,IF($AP$117&gt;0,Tables!$J19,"")),"")</f>
        <v>Drains to adjacent property:  25, 50, and 100-yr discharge &gt; 25-yr discharge</v>
      </c>
      <c r="M206" s="48"/>
      <c r="N206" s="48"/>
      <c r="O206" s="48"/>
      <c r="P206" s="47"/>
      <c r="Q206" s="47"/>
      <c r="R206" s="47"/>
      <c r="S206" s="47"/>
      <c r="T206" s="47"/>
      <c r="U206" s="47"/>
      <c r="V206" s="47"/>
      <c r="W206" s="47"/>
      <c r="X206" s="47"/>
      <c r="Y206" s="47"/>
      <c r="Z206" s="47"/>
      <c r="AA206" s="47"/>
      <c r="AB206" s="47"/>
      <c r="AC206" s="47"/>
      <c r="AD206" s="47"/>
      <c r="AE206" s="47"/>
      <c r="AF206" s="47"/>
      <c r="AG206" s="47"/>
      <c r="AH206" s="47"/>
      <c r="AI206" s="47"/>
      <c r="AJ206" s="49"/>
      <c r="AL206" s="93">
        <f t="shared" si="15"/>
        <v>1</v>
      </c>
    </row>
    <row r="207" spans="2:38" ht="15" customHeight="1" x14ac:dyDescent="0.3">
      <c r="AK207" s="29"/>
    </row>
    <row r="208" spans="2:38" ht="15" customHeight="1" x14ac:dyDescent="0.3">
      <c r="B208" s="179">
        <f>Tables!$F$13</f>
        <v>45931</v>
      </c>
      <c r="C208" s="179"/>
      <c r="D208" s="179"/>
      <c r="E208" s="179"/>
      <c r="F208" s="179"/>
      <c r="G208" s="179"/>
      <c r="H208" s="179"/>
      <c r="R208" s="180" t="s">
        <v>270</v>
      </c>
      <c r="S208" s="180"/>
      <c r="T208" s="180"/>
      <c r="U208" s="180"/>
      <c r="AK208" s="29"/>
    </row>
    <row r="209" ht="15" customHeight="1" x14ac:dyDescent="0.3"/>
    <row r="210" ht="15" customHeight="1" x14ac:dyDescent="0.3"/>
    <row r="211" ht="15" customHeight="1" x14ac:dyDescent="0.3"/>
  </sheetData>
  <sheetProtection algorithmName="SHA-512" hashValue="ZdK3tLx4KiZSUKx8EAwpS7dFW43ZsPNE1aOloFEJDnJ6LbJSeFN0IWe0m2XzN8o1V6hE3G+14Yda7oO7h6JRFw==" saltValue="wNWG2xi4aIDBvT9SEa6mZQ==" spinCount="100000" sheet="1" objects="1" scenarios="1" selectLockedCells="1"/>
  <mergeCells count="338">
    <mergeCell ref="AL151:AM151"/>
    <mergeCell ref="M70:O70"/>
    <mergeCell ref="R70:T70"/>
    <mergeCell ref="M104:P104"/>
    <mergeCell ref="M105:P105"/>
    <mergeCell ref="M106:P106"/>
    <mergeCell ref="AD6:AJ6"/>
    <mergeCell ref="AA14:AD14"/>
    <mergeCell ref="AE14:AF14"/>
    <mergeCell ref="AE15:AF15"/>
    <mergeCell ref="N16:O16"/>
    <mergeCell ref="N17:O17"/>
    <mergeCell ref="AA17:AB17"/>
    <mergeCell ref="AE17:AH17"/>
    <mergeCell ref="AI17:AJ17"/>
    <mergeCell ref="E7:X7"/>
    <mergeCell ref="E8:X8"/>
    <mergeCell ref="AA15:AD15"/>
    <mergeCell ref="W17:Z17"/>
    <mergeCell ref="J16:M16"/>
    <mergeCell ref="J17:M17"/>
    <mergeCell ref="M73:O73"/>
    <mergeCell ref="M77:O77"/>
    <mergeCell ref="M76:P76"/>
    <mergeCell ref="M79:P79"/>
    <mergeCell ref="AP125:AQ125"/>
    <mergeCell ref="F176:Z176"/>
    <mergeCell ref="F177:Z177"/>
    <mergeCell ref="AC105:AF105"/>
    <mergeCell ref="AC106:AF106"/>
    <mergeCell ref="AC107:AF107"/>
    <mergeCell ref="S104:U104"/>
    <mergeCell ref="S105:U105"/>
    <mergeCell ref="S106:U106"/>
    <mergeCell ref="X104:Z104"/>
    <mergeCell ref="X105:Z105"/>
    <mergeCell ref="X106:Z106"/>
    <mergeCell ref="AC109:AF109"/>
    <mergeCell ref="B126:AJ131"/>
    <mergeCell ref="M108:P108"/>
    <mergeCell ref="M109:P109"/>
    <mergeCell ref="AG123:AI123"/>
    <mergeCell ref="AC119:AE119"/>
    <mergeCell ref="AC120:AE120"/>
    <mergeCell ref="AC121:AE121"/>
    <mergeCell ref="AC122:AE122"/>
    <mergeCell ref="Q118:S118"/>
    <mergeCell ref="Q119:S119"/>
    <mergeCell ref="AG119:AI119"/>
    <mergeCell ref="AG120:AI120"/>
    <mergeCell ref="AG121:AI121"/>
    <mergeCell ref="U119:W119"/>
    <mergeCell ref="U120:W120"/>
    <mergeCell ref="U121:W121"/>
    <mergeCell ref="M119:O119"/>
    <mergeCell ref="M120:O120"/>
    <mergeCell ref="X117:AB117"/>
    <mergeCell ref="Y118:AA118"/>
    <mergeCell ref="Y119:AA119"/>
    <mergeCell ref="Y120:AA120"/>
    <mergeCell ref="Y121:AA121"/>
    <mergeCell ref="AG122:AI122"/>
    <mergeCell ref="Q120:S120"/>
    <mergeCell ref="Q121:S121"/>
    <mergeCell ref="Q122:S122"/>
    <mergeCell ref="AD183:AH183"/>
    <mergeCell ref="B164:H164"/>
    <mergeCell ref="R164:U164"/>
    <mergeCell ref="F181:J181"/>
    <mergeCell ref="AF95:AH95"/>
    <mergeCell ref="O115:R115"/>
    <mergeCell ref="W115:Z115"/>
    <mergeCell ref="C103:E103"/>
    <mergeCell ref="X103:Z103"/>
    <mergeCell ref="C109:E109"/>
    <mergeCell ref="C102:E102"/>
    <mergeCell ref="C104:E104"/>
    <mergeCell ref="C105:E105"/>
    <mergeCell ref="C106:E106"/>
    <mergeCell ref="C107:E107"/>
    <mergeCell ref="C108:E108"/>
    <mergeCell ref="H109:J109"/>
    <mergeCell ref="AC104:AF104"/>
    <mergeCell ref="F178:Z178"/>
    <mergeCell ref="F179:L179"/>
    <mergeCell ref="P179:S179"/>
    <mergeCell ref="X179:Z179"/>
    <mergeCell ref="F180:Z180"/>
    <mergeCell ref="AC110:AF110"/>
    <mergeCell ref="W70:Y70"/>
    <mergeCell ref="W95:Y95"/>
    <mergeCell ref="M74:O74"/>
    <mergeCell ref="M68:O68"/>
    <mergeCell ref="R68:T68"/>
    <mergeCell ref="M72:P72"/>
    <mergeCell ref="M117:O117"/>
    <mergeCell ref="M118:O118"/>
    <mergeCell ref="AC117:AE117"/>
    <mergeCell ref="AC118:AE118"/>
    <mergeCell ref="S108:U108"/>
    <mergeCell ref="S109:U109"/>
    <mergeCell ref="X108:Z108"/>
    <mergeCell ref="X109:Z109"/>
    <mergeCell ref="AC103:AF103"/>
    <mergeCell ref="S110:U110"/>
    <mergeCell ref="R112:U112"/>
    <mergeCell ref="L99:M99"/>
    <mergeCell ref="R99:S99"/>
    <mergeCell ref="AC123:AE123"/>
    <mergeCell ref="R67:T67"/>
    <mergeCell ref="W67:Y67"/>
    <mergeCell ref="J21:M21"/>
    <mergeCell ref="L27:N27"/>
    <mergeCell ref="L26:N26"/>
    <mergeCell ref="L40:N40"/>
    <mergeCell ref="L39:N39"/>
    <mergeCell ref="L34:N34"/>
    <mergeCell ref="L33:N33"/>
    <mergeCell ref="L32:N32"/>
    <mergeCell ref="T45:V45"/>
    <mergeCell ref="X44:Z44"/>
    <mergeCell ref="P45:R45"/>
    <mergeCell ref="L45:N45"/>
    <mergeCell ref="L44:N44"/>
    <mergeCell ref="L43:N43"/>
    <mergeCell ref="L42:N42"/>
    <mergeCell ref="P26:R26"/>
    <mergeCell ref="H63:J63"/>
    <mergeCell ref="P65:T65"/>
    <mergeCell ref="T44:V44"/>
    <mergeCell ref="L61:N61"/>
    <mergeCell ref="T32:V32"/>
    <mergeCell ref="T33:V33"/>
    <mergeCell ref="AC63:AE63"/>
    <mergeCell ref="AB38:AD38"/>
    <mergeCell ref="AB33:AD33"/>
    <mergeCell ref="AB34:AD34"/>
    <mergeCell ref="T63:V63"/>
    <mergeCell ref="AB46:AD46"/>
    <mergeCell ref="AB47:AD47"/>
    <mergeCell ref="AB43:AD43"/>
    <mergeCell ref="X40:Z40"/>
    <mergeCell ref="X41:Z41"/>
    <mergeCell ref="X42:Z42"/>
    <mergeCell ref="AB42:AD42"/>
    <mergeCell ref="AB44:AD44"/>
    <mergeCell ref="AB45:AD45"/>
    <mergeCell ref="X45:Z45"/>
    <mergeCell ref="X46:Z46"/>
    <mergeCell ref="X47:Z47"/>
    <mergeCell ref="AB39:AD39"/>
    <mergeCell ref="B55:H55"/>
    <mergeCell ref="R55:U55"/>
    <mergeCell ref="D56:Y56"/>
    <mergeCell ref="P38:R38"/>
    <mergeCell ref="T38:V38"/>
    <mergeCell ref="L46:N46"/>
    <mergeCell ref="L38:N38"/>
    <mergeCell ref="F44:G44"/>
    <mergeCell ref="F45:G45"/>
    <mergeCell ref="F46:G46"/>
    <mergeCell ref="F47:G47"/>
    <mergeCell ref="P44:R44"/>
    <mergeCell ref="P46:R46"/>
    <mergeCell ref="L47:N47"/>
    <mergeCell ref="P47:R47"/>
    <mergeCell ref="T46:V46"/>
    <mergeCell ref="T47:V47"/>
    <mergeCell ref="X43:Z43"/>
    <mergeCell ref="F42:G42"/>
    <mergeCell ref="F43:G43"/>
    <mergeCell ref="I39:J39"/>
    <mergeCell ref="X39:Z39"/>
    <mergeCell ref="X29:Z29"/>
    <mergeCell ref="AB27:AD27"/>
    <mergeCell ref="T29:V29"/>
    <mergeCell ref="X27:Z27"/>
    <mergeCell ref="X28:Z28"/>
    <mergeCell ref="AB29:AD29"/>
    <mergeCell ref="W68:Y68"/>
    <mergeCell ref="M69:O69"/>
    <mergeCell ref="R69:T69"/>
    <mergeCell ref="W69:Y69"/>
    <mergeCell ref="AB40:AD40"/>
    <mergeCell ref="AB41:AD41"/>
    <mergeCell ref="X38:Z38"/>
    <mergeCell ref="T39:V39"/>
    <mergeCell ref="T40:V40"/>
    <mergeCell ref="P39:R39"/>
    <mergeCell ref="P40:R40"/>
    <mergeCell ref="P41:R41"/>
    <mergeCell ref="P42:R42"/>
    <mergeCell ref="P43:R43"/>
    <mergeCell ref="T41:V41"/>
    <mergeCell ref="T42:V42"/>
    <mergeCell ref="T43:V43"/>
    <mergeCell ref="L41:N41"/>
    <mergeCell ref="F29:G29"/>
    <mergeCell ref="AF33:AH33"/>
    <mergeCell ref="AF34:AH34"/>
    <mergeCell ref="W20:Z20"/>
    <mergeCell ref="W21:Z21"/>
    <mergeCell ref="AB28:AD28"/>
    <mergeCell ref="AF31:AH31"/>
    <mergeCell ref="AF32:AH32"/>
    <mergeCell ref="X32:Z32"/>
    <mergeCell ref="X33:Z33"/>
    <mergeCell ref="X34:Z34"/>
    <mergeCell ref="AB30:AD30"/>
    <mergeCell ref="J20:M20"/>
    <mergeCell ref="T34:V34"/>
    <mergeCell ref="X26:Z26"/>
    <mergeCell ref="AB31:AD31"/>
    <mergeCell ref="AB32:AD32"/>
    <mergeCell ref="T27:V27"/>
    <mergeCell ref="T28:V28"/>
    <mergeCell ref="AB25:AD25"/>
    <mergeCell ref="AF25:AH25"/>
    <mergeCell ref="P28:R28"/>
    <mergeCell ref="T26:V26"/>
    <mergeCell ref="L25:N25"/>
    <mergeCell ref="J18:M18"/>
    <mergeCell ref="J19:M19"/>
    <mergeCell ref="P29:R29"/>
    <mergeCell ref="P30:R30"/>
    <mergeCell ref="P31:R31"/>
    <mergeCell ref="N19:O19"/>
    <mergeCell ref="N20:O20"/>
    <mergeCell ref="N21:O21"/>
    <mergeCell ref="I26:J26"/>
    <mergeCell ref="P25:R25"/>
    <mergeCell ref="L30:N30"/>
    <mergeCell ref="L29:N29"/>
    <mergeCell ref="L28:N28"/>
    <mergeCell ref="N18:O18"/>
    <mergeCell ref="L31:N31"/>
    <mergeCell ref="P27:R27"/>
    <mergeCell ref="F30:G30"/>
    <mergeCell ref="F31:G31"/>
    <mergeCell ref="F32:G32"/>
    <mergeCell ref="F33:G33"/>
    <mergeCell ref="F34:G34"/>
    <mergeCell ref="X30:Z30"/>
    <mergeCell ref="X31:Z31"/>
    <mergeCell ref="P32:R32"/>
    <mergeCell ref="P33:R33"/>
    <mergeCell ref="P34:R34"/>
    <mergeCell ref="T31:V31"/>
    <mergeCell ref="T30:V30"/>
    <mergeCell ref="Y122:AA122"/>
    <mergeCell ref="Y123:AA123"/>
    <mergeCell ref="U122:W122"/>
    <mergeCell ref="U123:W123"/>
    <mergeCell ref="X107:Z107"/>
    <mergeCell ref="AC108:AF108"/>
    <mergeCell ref="S103:U103"/>
    <mergeCell ref="S107:U107"/>
    <mergeCell ref="AE113:AJ113"/>
    <mergeCell ref="AE114:AJ114"/>
    <mergeCell ref="D113:Y113"/>
    <mergeCell ref="AG117:AJ117"/>
    <mergeCell ref="AG118:AI118"/>
    <mergeCell ref="Q117:S117"/>
    <mergeCell ref="U117:W117"/>
    <mergeCell ref="U118:W118"/>
    <mergeCell ref="G118:H118"/>
    <mergeCell ref="G119:H119"/>
    <mergeCell ref="G120:H120"/>
    <mergeCell ref="G121:H121"/>
    <mergeCell ref="G122:H122"/>
    <mergeCell ref="G123:H123"/>
    <mergeCell ref="M121:O121"/>
    <mergeCell ref="M122:O122"/>
    <mergeCell ref="M83:O83"/>
    <mergeCell ref="B112:H112"/>
    <mergeCell ref="H110:J110"/>
    <mergeCell ref="H104:J104"/>
    <mergeCell ref="H105:J105"/>
    <mergeCell ref="H108:J108"/>
    <mergeCell ref="H106:J106"/>
    <mergeCell ref="H107:J107"/>
    <mergeCell ref="H103:J103"/>
    <mergeCell ref="F94:I94"/>
    <mergeCell ref="F95:I95"/>
    <mergeCell ref="O94:Q94"/>
    <mergeCell ref="O95:Q95"/>
    <mergeCell ref="M103:P103"/>
    <mergeCell ref="L97:T97"/>
    <mergeCell ref="F99:G99"/>
    <mergeCell ref="M107:P107"/>
    <mergeCell ref="BM1:CC4"/>
    <mergeCell ref="AF90:AH90"/>
    <mergeCell ref="AF81:AH81"/>
    <mergeCell ref="AF86:AH86"/>
    <mergeCell ref="AE57:AJ57"/>
    <mergeCell ref="AE56:AJ56"/>
    <mergeCell ref="AF85:AH85"/>
    <mergeCell ref="AE7:AJ7"/>
    <mergeCell ref="AE8:AJ8"/>
    <mergeCell ref="AF43:AH43"/>
    <mergeCell ref="AF47:AH47"/>
    <mergeCell ref="AF44:AH44"/>
    <mergeCell ref="AF45:AH45"/>
    <mergeCell ref="AF46:AH46"/>
    <mergeCell ref="AF42:AH42"/>
    <mergeCell ref="AF39:AH39"/>
    <mergeCell ref="T1:AK4"/>
    <mergeCell ref="AF26:AH26"/>
    <mergeCell ref="AF29:AH29"/>
    <mergeCell ref="AB26:AD26"/>
    <mergeCell ref="W83:Y83"/>
    <mergeCell ref="AF30:AH30"/>
    <mergeCell ref="T25:V25"/>
    <mergeCell ref="X25:Z25"/>
    <mergeCell ref="D29:E34"/>
    <mergeCell ref="D42:E47"/>
    <mergeCell ref="B208:H208"/>
    <mergeCell ref="R208:U208"/>
    <mergeCell ref="AV6:BI7"/>
    <mergeCell ref="D165:Y165"/>
    <mergeCell ref="AE165:AJ165"/>
    <mergeCell ref="AE166:AJ166"/>
    <mergeCell ref="M88:O88"/>
    <mergeCell ref="M90:O90"/>
    <mergeCell ref="W73:Y73"/>
    <mergeCell ref="W74:Y74"/>
    <mergeCell ref="W77:Y77"/>
    <mergeCell ref="W79:Y79"/>
    <mergeCell ref="W81:Y81"/>
    <mergeCell ref="W85:Y85"/>
    <mergeCell ref="W86:Y86"/>
    <mergeCell ref="W88:Y88"/>
    <mergeCell ref="W90:Y90"/>
    <mergeCell ref="M81:O81"/>
    <mergeCell ref="Q123:S123"/>
    <mergeCell ref="M85:P85"/>
    <mergeCell ref="M86:O86"/>
    <mergeCell ref="M123:O123"/>
  </mergeCells>
  <phoneticPr fontId="24" type="noConversion"/>
  <conditionalFormatting sqref="B126">
    <cfRule type="expression" dxfId="329" priority="1309">
      <formula>$AL$186&gt;1</formula>
    </cfRule>
    <cfRule type="cellIs" priority="1308" stopIfTrue="1" operator="greaterThan">
      <formula>0</formula>
    </cfRule>
  </conditionalFormatting>
  <conditionalFormatting sqref="C135 C137">
    <cfRule type="expression" dxfId="328" priority="161">
      <formula>$AM135=2</formula>
    </cfRule>
  </conditionalFormatting>
  <conditionalFormatting sqref="C157 F157">
    <cfRule type="expression" dxfId="327" priority="157">
      <formula>$AL157=1</formula>
    </cfRule>
  </conditionalFormatting>
  <conditionalFormatting sqref="C157">
    <cfRule type="expression" dxfId="326" priority="159">
      <formula>$AM157=2</formula>
    </cfRule>
  </conditionalFormatting>
  <conditionalFormatting sqref="C159 F159">
    <cfRule type="expression" dxfId="325" priority="158">
      <formula>$AM157=2</formula>
    </cfRule>
  </conditionalFormatting>
  <conditionalFormatting sqref="C103:E103">
    <cfRule type="expression" dxfId="324" priority="194">
      <formula>ISBLANK($C$103)</formula>
    </cfRule>
  </conditionalFormatting>
  <conditionalFormatting sqref="D56 AE56:AE57 H110 K110 D113 AE113:AE114">
    <cfRule type="cellIs" dxfId="323" priority="482" operator="equal">
      <formula>0</formula>
    </cfRule>
  </conditionalFormatting>
  <conditionalFormatting sqref="D165 AE165:AE166">
    <cfRule type="cellIs" dxfId="322" priority="197" operator="equal">
      <formula>0</formula>
    </cfRule>
  </conditionalFormatting>
  <conditionalFormatting sqref="E7:E8 AE7:AE8 AF29:AF34 AF42:AF47 AC110 Q118:Q123">
    <cfRule type="expression" dxfId="321" priority="501">
      <formula>ISBLANK(E7)</formula>
    </cfRule>
  </conditionalFormatting>
  <conditionalFormatting sqref="F10 M10 U10">
    <cfRule type="expression" dxfId="320" priority="476">
      <formula>ISBLANK(F10)</formula>
    </cfRule>
  </conditionalFormatting>
  <conditionalFormatting sqref="F12 M12 U12">
    <cfRule type="expression" dxfId="319" priority="357">
      <formula>ISBLANK(F12)</formula>
    </cfRule>
  </conditionalFormatting>
  <conditionalFormatting sqref="F153 C153">
    <cfRule type="expression" dxfId="318" priority="24">
      <formula>$AL153=1</formula>
    </cfRule>
  </conditionalFormatting>
  <conditionalFormatting sqref="F153">
    <cfRule type="expression" dxfId="317" priority="23">
      <formula>$AQ$153&gt;0</formula>
    </cfRule>
  </conditionalFormatting>
  <conditionalFormatting sqref="F155 C135 F135 C137 F137 C155">
    <cfRule type="expression" dxfId="316" priority="160">
      <formula>$AL135=1</formula>
    </cfRule>
  </conditionalFormatting>
  <conditionalFormatting sqref="F155">
    <cfRule type="expression" dxfId="315" priority="94">
      <formula>$AM$155=2</formula>
    </cfRule>
  </conditionalFormatting>
  <conditionalFormatting sqref="F159 C159">
    <cfRule type="expression" priority="156" stopIfTrue="1">
      <formula>$AN$159=3</formula>
    </cfRule>
  </conditionalFormatting>
  <conditionalFormatting sqref="F159">
    <cfRule type="expression" dxfId="314" priority="155" stopIfTrue="1">
      <formula>$AM$159=2</formula>
    </cfRule>
  </conditionalFormatting>
  <conditionalFormatting sqref="F176:F177">
    <cfRule type="expression" dxfId="313" priority="184">
      <formula>ISBLANK(F176)</formula>
    </cfRule>
  </conditionalFormatting>
  <conditionalFormatting sqref="F179:F181">
    <cfRule type="expression" dxfId="312" priority="179">
      <formula>ISBLANK(F179)</formula>
    </cfRule>
  </conditionalFormatting>
  <conditionalFormatting sqref="F94:I95 O94:Q95 W95:Y95 AF95:AH95">
    <cfRule type="expression" dxfId="311" priority="1219">
      <formula>$AO$88=2</formula>
    </cfRule>
    <cfRule type="cellIs" priority="279" stopIfTrue="1" operator="greaterThan">
      <formula>0</formula>
    </cfRule>
  </conditionalFormatting>
  <conditionalFormatting sqref="F178:Z178">
    <cfRule type="expression" dxfId="310" priority="182">
      <formula>ISBLANK(F178)</formula>
    </cfRule>
  </conditionalFormatting>
  <conditionalFormatting sqref="G14 J14">
    <cfRule type="expression" dxfId="309" priority="66">
      <formula>$AL$14=1</formula>
    </cfRule>
  </conditionalFormatting>
  <conditionalFormatting sqref="H65 K65">
    <cfRule type="cellIs" priority="249" stopIfTrue="1" operator="greaterThan">
      <formula>0</formula>
    </cfRule>
    <cfRule type="expression" dxfId="308" priority="250">
      <formula>$AL$65=1</formula>
    </cfRule>
  </conditionalFormatting>
  <conditionalFormatting sqref="H103 M103">
    <cfRule type="expression" dxfId="307" priority="430">
      <formula>$AL$103=2</formula>
    </cfRule>
  </conditionalFormatting>
  <conditionalFormatting sqref="H103:H109 M103:M109">
    <cfRule type="cellIs" priority="368" stopIfTrue="1" operator="greaterThan">
      <formula>0</formula>
    </cfRule>
  </conditionalFormatting>
  <conditionalFormatting sqref="H63:J63 T63:V63 AC63:AE63">
    <cfRule type="expression" dxfId="306" priority="246">
      <formula>ISBLANK(H63)</formula>
    </cfRule>
  </conditionalFormatting>
  <conditionalFormatting sqref="H63:J63">
    <cfRule type="cellIs" dxfId="305" priority="198" operator="greaterThan">
      <formula>5</formula>
    </cfRule>
  </conditionalFormatting>
  <conditionalFormatting sqref="H103:J103">
    <cfRule type="expression" priority="193" stopIfTrue="1">
      <formula>$AN$103=2</formula>
    </cfRule>
  </conditionalFormatting>
  <conditionalFormatting sqref="I26">
    <cfRule type="expression" dxfId="304" priority="40">
      <formula>$AM$16=3</formula>
    </cfRule>
  </conditionalFormatting>
  <conditionalFormatting sqref="I39">
    <cfRule type="expression" dxfId="303" priority="36">
      <formula>$AM$16=3</formula>
    </cfRule>
  </conditionalFormatting>
  <conditionalFormatting sqref="I141 L141">
    <cfRule type="expression" dxfId="302" priority="10">
      <formula>$AL141=1</formula>
    </cfRule>
  </conditionalFormatting>
  <conditionalFormatting sqref="I141">
    <cfRule type="expression" dxfId="301" priority="9">
      <formula>$AM141=2</formula>
    </cfRule>
  </conditionalFormatting>
  <conditionalFormatting sqref="I147 L147">
    <cfRule type="expression" dxfId="300" priority="6">
      <formula>$AL147=1</formula>
    </cfRule>
  </conditionalFormatting>
  <conditionalFormatting sqref="I26:J26">
    <cfRule type="expression" dxfId="299" priority="39">
      <formula>$AL$14=1</formula>
    </cfRule>
  </conditionalFormatting>
  <conditionalFormatting sqref="I39:J39">
    <cfRule type="expression" dxfId="298" priority="35">
      <formula>$AL$14=1</formula>
    </cfRule>
  </conditionalFormatting>
  <conditionalFormatting sqref="J16:J20">
    <cfRule type="expression" dxfId="297" priority="71">
      <formula>ISBLANK(J16)</formula>
    </cfRule>
  </conditionalFormatting>
  <conditionalFormatting sqref="J59 M59 P59 S59">
    <cfRule type="expression" priority="1211" stopIfTrue="1">
      <formula>$AL$59=2</formula>
    </cfRule>
    <cfRule type="expression" dxfId="296" priority="1212">
      <formula>$AL$59=1</formula>
    </cfRule>
  </conditionalFormatting>
  <conditionalFormatting sqref="J16:M21 P26:R26 T26:V26 X26:Z26 AB26:AD26 AF26:AH26 P39:R39 T39:V39 X39:Z39 AB39:AD39 AF39:AH39">
    <cfRule type="expression" dxfId="295" priority="58">
      <formula>$AM$16=1</formula>
    </cfRule>
    <cfRule type="expression" dxfId="294" priority="57">
      <formula>$AM$16=2</formula>
    </cfRule>
  </conditionalFormatting>
  <conditionalFormatting sqref="J21:M21">
    <cfRule type="cellIs" dxfId="293" priority="59" operator="equal">
      <formula>0</formula>
    </cfRule>
  </conditionalFormatting>
  <conditionalFormatting sqref="K92 N92">
    <cfRule type="expression" dxfId="292" priority="282">
      <formula>$AO$92=1</formula>
    </cfRule>
    <cfRule type="cellIs" priority="281" stopIfTrue="1" operator="greaterThan">
      <formula>0</formula>
    </cfRule>
  </conditionalFormatting>
  <conditionalFormatting sqref="K104 H104 M104">
    <cfRule type="expression" dxfId="291" priority="428">
      <formula>$AL$104=2</formula>
    </cfRule>
  </conditionalFormatting>
  <conditionalFormatting sqref="K104:K109">
    <cfRule type="cellIs" priority="411" stopIfTrue="1" operator="greaterThan">
      <formula>0</formula>
    </cfRule>
  </conditionalFormatting>
  <conditionalFormatting sqref="K105 H105 M105">
    <cfRule type="expression" dxfId="290" priority="426">
      <formula>$AL$105=2</formula>
    </cfRule>
  </conditionalFormatting>
  <conditionalFormatting sqref="K106 H106 M106">
    <cfRule type="expression" dxfId="289" priority="424">
      <formula>$AL$106=2</formula>
    </cfRule>
  </conditionalFormatting>
  <conditionalFormatting sqref="K107 H107 M107">
    <cfRule type="expression" dxfId="288" priority="422">
      <formula>$AL$107=2</formula>
    </cfRule>
  </conditionalFormatting>
  <conditionalFormatting sqref="K108 H108 M108">
    <cfRule type="expression" dxfId="287" priority="420">
      <formula>$AL$108=2</formula>
    </cfRule>
  </conditionalFormatting>
  <conditionalFormatting sqref="K109 H109 M109">
    <cfRule type="expression" dxfId="286" priority="418">
      <formula>$AL$109=2</formula>
    </cfRule>
  </conditionalFormatting>
  <conditionalFormatting sqref="L26:L34">
    <cfRule type="cellIs" dxfId="285" priority="386" stopIfTrue="1" operator="greaterThan">
      <formula>0</formula>
    </cfRule>
    <cfRule type="expression" dxfId="284" priority="475">
      <formula>$L$24=2</formula>
    </cfRule>
  </conditionalFormatting>
  <conditionalFormatting sqref="L39:L47">
    <cfRule type="cellIs" dxfId="283" priority="464" operator="greaterThan">
      <formula>0</formula>
    </cfRule>
    <cfRule type="expression" dxfId="282" priority="465">
      <formula>$L$37=2</formula>
    </cfRule>
  </conditionalFormatting>
  <conditionalFormatting sqref="L139 I139">
    <cfRule type="expression" dxfId="281" priority="16">
      <formula>$AL139=1</formula>
    </cfRule>
  </conditionalFormatting>
  <conditionalFormatting sqref="L139">
    <cfRule type="expression" dxfId="280" priority="15">
      <formula>$AM139=2</formula>
    </cfRule>
  </conditionalFormatting>
  <conditionalFormatting sqref="L25:N25">
    <cfRule type="expression" dxfId="279" priority="196">
      <formula>ISBLANK($L$25)</formula>
    </cfRule>
  </conditionalFormatting>
  <conditionalFormatting sqref="L26:N26">
    <cfRule type="expression" dxfId="278" priority="31">
      <formula>$AM$16=2</formula>
    </cfRule>
    <cfRule type="expression" dxfId="277" priority="32">
      <formula>$AM$16=1</formula>
    </cfRule>
  </conditionalFormatting>
  <conditionalFormatting sqref="L38:N38">
    <cfRule type="expression" dxfId="276" priority="195">
      <formula>ISBLANK($L$38)</formula>
    </cfRule>
  </conditionalFormatting>
  <conditionalFormatting sqref="L39:N39">
    <cfRule type="expression" dxfId="275" priority="27">
      <formula>$AM$16=1</formula>
    </cfRule>
    <cfRule type="expression" dxfId="274" priority="26">
      <formula>$AM$16=2</formula>
    </cfRule>
  </conditionalFormatting>
  <conditionalFormatting sqref="L61:N61">
    <cfRule type="expression" dxfId="273" priority="351">
      <formula>ISBLANK(L61)</formula>
    </cfRule>
  </conditionalFormatting>
  <conditionalFormatting sqref="L97:T97 F99:G99 L99:M99 R99:S99">
    <cfRule type="expression" dxfId="272" priority="17">
      <formula>ISBLANK(F97)</formula>
    </cfRule>
  </conditionalFormatting>
  <conditionalFormatting sqref="M68:O70 R68:T70 W68:Y70">
    <cfRule type="expression" dxfId="271" priority="244">
      <formula>ISBLANK(M68)</formula>
    </cfRule>
    <cfRule type="cellIs" priority="243" stopIfTrue="1" operator="greaterThan">
      <formula>0</formula>
    </cfRule>
  </conditionalFormatting>
  <conditionalFormatting sqref="M81:O81">
    <cfRule type="cellIs" priority="226" stopIfTrue="1" operator="greaterThan">
      <formula>0</formula>
    </cfRule>
    <cfRule type="expression" dxfId="270" priority="228">
      <formula>ISBLANK(M81)</formula>
    </cfRule>
    <cfRule type="expression" priority="227" stopIfTrue="1">
      <formula>$AM$81=2</formula>
    </cfRule>
  </conditionalFormatting>
  <conditionalFormatting sqref="M83:O83 W83:Y83">
    <cfRule type="expression" dxfId="269" priority="210">
      <formula>ISBLANK(M83)</formula>
    </cfRule>
    <cfRule type="cellIs" priority="209" stopIfTrue="1" operator="notEqual">
      <formula>0</formula>
    </cfRule>
  </conditionalFormatting>
  <conditionalFormatting sqref="M86:O86">
    <cfRule type="expression" dxfId="268" priority="218">
      <formula>ISBLANK(M86)</formula>
    </cfRule>
    <cfRule type="expression" priority="217" stopIfTrue="1">
      <formula>$AM$86=2</formula>
    </cfRule>
    <cfRule type="cellIs" priority="216" stopIfTrue="1" operator="greaterThan">
      <formula>0</formula>
    </cfRule>
  </conditionalFormatting>
  <conditionalFormatting sqref="M88:O88 W88:Y88 M90:O90 W90:Y90 AF90:AH90">
    <cfRule type="expression" dxfId="267" priority="212">
      <formula>ISBLANK(M88)</formula>
    </cfRule>
  </conditionalFormatting>
  <conditionalFormatting sqref="M118:O123">
    <cfRule type="cellIs" dxfId="266" priority="191" operator="equal">
      <formula>0</formula>
    </cfRule>
  </conditionalFormatting>
  <conditionalFormatting sqref="M72:P72 M73:O74 W73:Y74">
    <cfRule type="expression" priority="239" stopIfTrue="1">
      <formula>$AM$72=2</formula>
    </cfRule>
    <cfRule type="expression" dxfId="265" priority="1213">
      <formula>ISBLANK(M72)</formula>
    </cfRule>
    <cfRule type="cellIs" priority="237" stopIfTrue="1" operator="greaterThan">
      <formula>0</formula>
    </cfRule>
  </conditionalFormatting>
  <conditionalFormatting sqref="M76:P76 M77:O77 W77:Y77">
    <cfRule type="expression" dxfId="264" priority="233">
      <formula>ISBLANK(M76)</formula>
    </cfRule>
    <cfRule type="expression" priority="232" stopIfTrue="1">
      <formula>$AM$76=2</formula>
    </cfRule>
    <cfRule type="cellIs" priority="231" stopIfTrue="1" operator="greaterThan">
      <formula>0</formula>
    </cfRule>
  </conditionalFormatting>
  <conditionalFormatting sqref="M79:P79 W79:Y79 M81:O81 W81:Y81 AF81:AH81 M83:O83 W83:Y83 AE83 AH83">
    <cfRule type="expression" priority="203" stopIfTrue="1">
      <formula>$AL$79=2</formula>
    </cfRule>
  </conditionalFormatting>
  <conditionalFormatting sqref="M79:P79 W79:Y79">
    <cfRule type="cellIs" priority="221" stopIfTrue="1" operator="greaterThan">
      <formula>0</formula>
    </cfRule>
    <cfRule type="expression" dxfId="263" priority="222">
      <formula>ISBLANK(M79)</formula>
    </cfRule>
  </conditionalFormatting>
  <conditionalFormatting sqref="M85:P85">
    <cfRule type="expression" dxfId="262" priority="220">
      <formula>ISBLANK(M85)</formula>
    </cfRule>
    <cfRule type="cellIs" priority="219" stopIfTrue="1" operator="greaterThan">
      <formula>0</formula>
    </cfRule>
  </conditionalFormatting>
  <conditionalFormatting sqref="M103:P103">
    <cfRule type="expression" priority="192" stopIfTrue="1">
      <formula>$AO$103=2</formula>
    </cfRule>
  </conditionalFormatting>
  <conditionalFormatting sqref="N16:N21">
    <cfRule type="expression" dxfId="261" priority="65">
      <formula>$AM$16=3</formula>
    </cfRule>
  </conditionalFormatting>
  <conditionalFormatting sqref="N16:O21">
    <cfRule type="expression" dxfId="260" priority="64">
      <formula>$AL$14=1</formula>
    </cfRule>
  </conditionalFormatting>
  <conditionalFormatting sqref="O143 R143">
    <cfRule type="expression" dxfId="259" priority="14">
      <formula>$AM141=2</formula>
    </cfRule>
  </conditionalFormatting>
  <conditionalFormatting sqref="O145 R145">
    <cfRule type="expression" dxfId="258" priority="12">
      <formula>$AM141=2</formula>
    </cfRule>
  </conditionalFormatting>
  <conditionalFormatting sqref="O149 R149">
    <cfRule type="expression" dxfId="257" priority="5">
      <formula>$AM147=2</formula>
    </cfRule>
  </conditionalFormatting>
  <conditionalFormatting sqref="O115:R115 W115:Z115">
    <cfRule type="cellIs" dxfId="256" priority="30" operator="equal">
      <formula>0</formula>
    </cfRule>
  </conditionalFormatting>
  <conditionalFormatting sqref="O115:R115">
    <cfRule type="expression" dxfId="255" priority="29">
      <formula>$AQ$114=3</formula>
    </cfRule>
  </conditionalFormatting>
  <conditionalFormatting sqref="P39:P47">
    <cfRule type="expression" dxfId="254" priority="1124">
      <formula>$P$37=2</formula>
    </cfRule>
    <cfRule type="cellIs" dxfId="253" priority="1123" operator="greaterThan">
      <formula>0</formula>
    </cfRule>
  </conditionalFormatting>
  <conditionalFormatting sqref="P179">
    <cfRule type="expression" dxfId="252" priority="180">
      <formula>ISBLANK(P179)</formula>
    </cfRule>
  </conditionalFormatting>
  <conditionalFormatting sqref="P25:R34">
    <cfRule type="expression" dxfId="251" priority="372">
      <formula>$P$24=2</formula>
    </cfRule>
    <cfRule type="cellIs" priority="371" stopIfTrue="1" operator="greaterThan">
      <formula>0</formula>
    </cfRule>
  </conditionalFormatting>
  <conditionalFormatting sqref="P65:T65">
    <cfRule type="expression" dxfId="250" priority="248">
      <formula>$AM$65=2</formula>
    </cfRule>
    <cfRule type="cellIs" priority="247" stopIfTrue="1" operator="greaterThan">
      <formula>0</formula>
    </cfRule>
  </conditionalFormatting>
  <conditionalFormatting sqref="R143 O143">
    <cfRule type="expression" priority="13" stopIfTrue="1">
      <formula>$AL143=2</formula>
    </cfRule>
  </conditionalFormatting>
  <conditionalFormatting sqref="R143">
    <cfRule type="expression" dxfId="249" priority="8" stopIfTrue="1">
      <formula>$AM143=2</formula>
    </cfRule>
  </conditionalFormatting>
  <conditionalFormatting sqref="R145 O145">
    <cfRule type="expression" priority="11" stopIfTrue="1">
      <formula>$AL145=2</formula>
    </cfRule>
  </conditionalFormatting>
  <conditionalFormatting sqref="R145">
    <cfRule type="expression" dxfId="248" priority="7" stopIfTrue="1">
      <formula>$AM145=2</formula>
    </cfRule>
  </conditionalFormatting>
  <conditionalFormatting sqref="R149 O149">
    <cfRule type="expression" priority="4" stopIfTrue="1">
      <formula>$AL149=2</formula>
    </cfRule>
  </conditionalFormatting>
  <conditionalFormatting sqref="R149">
    <cfRule type="expression" dxfId="247" priority="3" stopIfTrue="1">
      <formula>$AM149=2</formula>
    </cfRule>
  </conditionalFormatting>
  <conditionalFormatting sqref="R151">
    <cfRule type="expression" dxfId="246" priority="2">
      <formula>$AM147=2</formula>
    </cfRule>
    <cfRule type="cellIs" priority="1" stopIfTrue="1" operator="greaterThan">
      <formula>0</formula>
    </cfRule>
  </conditionalFormatting>
  <conditionalFormatting sqref="S27:S34">
    <cfRule type="cellIs" dxfId="245" priority="382" operator="greaterThan">
      <formula>0</formula>
    </cfRule>
    <cfRule type="expression" dxfId="244" priority="472">
      <formula>$R$24=2</formula>
    </cfRule>
  </conditionalFormatting>
  <conditionalFormatting sqref="S110">
    <cfRule type="cellIs" dxfId="243" priority="1197" operator="lessThan">
      <formula>$H110</formula>
    </cfRule>
    <cfRule type="expression" dxfId="242" priority="1196">
      <formula>ISBLANK(S110)</formula>
    </cfRule>
  </conditionalFormatting>
  <conditionalFormatting sqref="T26:T34">
    <cfRule type="expression" dxfId="241" priority="1190">
      <formula>$T$24=2</formula>
    </cfRule>
    <cfRule type="cellIs" dxfId="240" priority="1189" operator="greaterThan">
      <formula>0</formula>
    </cfRule>
  </conditionalFormatting>
  <conditionalFormatting sqref="T39:T47">
    <cfRule type="expression" dxfId="239" priority="1168">
      <formula>$T$37=2</formula>
    </cfRule>
    <cfRule type="cellIs" dxfId="238" priority="1167" operator="greaterThan">
      <formula>0</formula>
    </cfRule>
  </conditionalFormatting>
  <conditionalFormatting sqref="U118:U123 Y118:Y123 AC118:AC123">
    <cfRule type="expression" dxfId="237" priority="98" stopIfTrue="1">
      <formula>ISBLANK(U118)</formula>
    </cfRule>
  </conditionalFormatting>
  <conditionalFormatting sqref="W81:Y81 AF81">
    <cfRule type="expression" dxfId="236" priority="225">
      <formula>ISBLANK(W81)</formula>
    </cfRule>
    <cfRule type="expression" priority="224" stopIfTrue="1">
      <formula>$AL$81=2</formula>
    </cfRule>
    <cfRule type="cellIs" priority="223" stopIfTrue="1" operator="greaterThan">
      <formula>0</formula>
    </cfRule>
  </conditionalFormatting>
  <conditionalFormatting sqref="W85:Y86 AF86:AH86">
    <cfRule type="expression" dxfId="235" priority="215">
      <formula>ISBLANK(W85)</formula>
    </cfRule>
    <cfRule type="cellIs" priority="213" stopIfTrue="1" operator="greaterThan">
      <formula>0</formula>
    </cfRule>
  </conditionalFormatting>
  <conditionalFormatting sqref="W86:Y86 AF86:AH86">
    <cfRule type="expression" priority="214" stopIfTrue="1">
      <formula>$AL$86=2</formula>
    </cfRule>
  </conditionalFormatting>
  <conditionalFormatting sqref="W88:Y88">
    <cfRule type="cellIs" dxfId="234" priority="201" stopIfTrue="1" operator="greaterThan">
      <formula>96</formula>
    </cfRule>
  </conditionalFormatting>
  <conditionalFormatting sqref="W90:Y90 W88:Y88 M88:O88 M90:O90 AF90:AH90">
    <cfRule type="cellIs" priority="211" stopIfTrue="1" operator="greaterThan">
      <formula>0</formula>
    </cfRule>
  </conditionalFormatting>
  <conditionalFormatting sqref="W90:Y90">
    <cfRule type="cellIs" dxfId="233" priority="202" stopIfTrue="1" operator="greaterThan">
      <formula>12</formula>
    </cfRule>
  </conditionalFormatting>
  <conditionalFormatting sqref="W17:Z17">
    <cfRule type="expression" dxfId="232" priority="55">
      <formula>$AM$16=2</formula>
    </cfRule>
    <cfRule type="expression" dxfId="231" priority="56">
      <formula>$AM$16=1</formula>
    </cfRule>
    <cfRule type="cellIs" dxfId="230" priority="70" operator="equal">
      <formula>0</formula>
    </cfRule>
    <cfRule type="expression" priority="69" stopIfTrue="1">
      <formula>$AL$17=1</formula>
    </cfRule>
  </conditionalFormatting>
  <conditionalFormatting sqref="W20:Z21">
    <cfRule type="expression" priority="67" stopIfTrue="1">
      <formula>$AL$17=1</formula>
    </cfRule>
    <cfRule type="cellIs" dxfId="229" priority="68" operator="equal">
      <formula>0</formula>
    </cfRule>
  </conditionalFormatting>
  <conditionalFormatting sqref="W115:Z115">
    <cfRule type="expression" dxfId="228" priority="28">
      <formula>$AQ$115=3</formula>
    </cfRule>
  </conditionalFormatting>
  <conditionalFormatting sqref="X26:X34">
    <cfRule type="cellIs" dxfId="227" priority="1191" operator="greaterThan">
      <formula>0</formula>
    </cfRule>
    <cfRule type="expression" dxfId="226" priority="1192">
      <formula>$X$24=2</formula>
    </cfRule>
  </conditionalFormatting>
  <conditionalFormatting sqref="X39:X47">
    <cfRule type="cellIs" dxfId="225" priority="1177" operator="greaterThan">
      <formula>0</formula>
    </cfRule>
    <cfRule type="expression" dxfId="224" priority="1178">
      <formula>$X$37=2</formula>
    </cfRule>
  </conditionalFormatting>
  <conditionalFormatting sqref="X103 AC103">
    <cfRule type="expression" dxfId="223" priority="410">
      <formula>$AM$103=2</formula>
    </cfRule>
  </conditionalFormatting>
  <conditionalFormatting sqref="X103:X104 AC103:AC104">
    <cfRule type="cellIs" priority="407" stopIfTrue="1" operator="greaterThan">
      <formula>0</formula>
    </cfRule>
  </conditionalFormatting>
  <conditionalFormatting sqref="X104 AC104">
    <cfRule type="expression" dxfId="222" priority="408">
      <formula>$AM$104=2</formula>
    </cfRule>
  </conditionalFormatting>
  <conditionalFormatting sqref="X105 AC105">
    <cfRule type="expression" dxfId="221" priority="406">
      <formula>$AM$105=2</formula>
    </cfRule>
    <cfRule type="cellIs" priority="405" stopIfTrue="1" operator="greaterThan">
      <formula>1</formula>
    </cfRule>
  </conditionalFormatting>
  <conditionalFormatting sqref="X106 AC106">
    <cfRule type="expression" dxfId="220" priority="404">
      <formula>$AM$106=2</formula>
    </cfRule>
  </conditionalFormatting>
  <conditionalFormatting sqref="X106:X109 AC106:AC109">
    <cfRule type="cellIs" priority="393" stopIfTrue="1" operator="greaterThan">
      <formula>0</formula>
    </cfRule>
  </conditionalFormatting>
  <conditionalFormatting sqref="X107 AC107">
    <cfRule type="expression" dxfId="219" priority="402">
      <formula>$AM$107=2</formula>
    </cfRule>
  </conditionalFormatting>
  <conditionalFormatting sqref="X108 AC108">
    <cfRule type="expression" dxfId="218" priority="400">
      <formula>$AM$108=2</formula>
    </cfRule>
  </conditionalFormatting>
  <conditionalFormatting sqref="X109 AC109">
    <cfRule type="expression" dxfId="217" priority="398">
      <formula>$AM$109=2</formula>
    </cfRule>
  </conditionalFormatting>
  <conditionalFormatting sqref="X179">
    <cfRule type="expression" dxfId="216" priority="181">
      <formula>ISBLANK(X179)</formula>
    </cfRule>
  </conditionalFormatting>
  <conditionalFormatting sqref="Y23 AB23 AE23 AH23">
    <cfRule type="expression" priority="177" stopIfTrue="1">
      <formula>$AL23=2</formula>
    </cfRule>
    <cfRule type="expression" dxfId="215" priority="178">
      <formula>$AL23=1</formula>
    </cfRule>
  </conditionalFormatting>
  <conditionalFormatting sqref="Y122:AA122">
    <cfRule type="expression" dxfId="214" priority="100">
      <formula>$AL$122&lt;1</formula>
    </cfRule>
  </conditionalFormatting>
  <conditionalFormatting sqref="Y122:AA123">
    <cfRule type="expression" priority="99" stopIfTrue="1">
      <formula>$AM$125=1</formula>
    </cfRule>
  </conditionalFormatting>
  <conditionalFormatting sqref="Y123:AA123">
    <cfRule type="expression" dxfId="213" priority="200">
      <formula>$AL$123&lt;1</formula>
    </cfRule>
  </conditionalFormatting>
  <conditionalFormatting sqref="AA14:AA15">
    <cfRule type="expression" dxfId="212" priority="72">
      <formula>ISBLANK(AA14)</formula>
    </cfRule>
  </conditionalFormatting>
  <conditionalFormatting sqref="AA17">
    <cfRule type="expression" dxfId="211" priority="63">
      <formula>$AM$16=3</formula>
    </cfRule>
  </conditionalFormatting>
  <conditionalFormatting sqref="AA17:AB17">
    <cfRule type="expression" dxfId="210" priority="62">
      <formula>$AL$14=1</formula>
    </cfRule>
  </conditionalFormatting>
  <conditionalFormatting sqref="AA14:AD15">
    <cfRule type="expression" dxfId="209" priority="54">
      <formula>$AM$16=1</formula>
    </cfRule>
    <cfRule type="expression" dxfId="208" priority="53">
      <formula>$AM$16=2</formula>
    </cfRule>
  </conditionalFormatting>
  <conditionalFormatting sqref="AB26:AB34">
    <cfRule type="cellIs" dxfId="207" priority="466" operator="greaterThan">
      <formula>0</formula>
    </cfRule>
    <cfRule type="expression" dxfId="206" priority="467">
      <formula>$AB$24=2</formula>
    </cfRule>
  </conditionalFormatting>
  <conditionalFormatting sqref="AB39:AB47">
    <cfRule type="cellIs" dxfId="205" priority="1187" operator="greaterThan">
      <formula>0</formula>
    </cfRule>
    <cfRule type="expression" dxfId="204" priority="1188">
      <formula>$AB$37=2</formula>
    </cfRule>
  </conditionalFormatting>
  <conditionalFormatting sqref="AC10">
    <cfRule type="expression" dxfId="203" priority="22">
      <formula>ISBLANK(AC10)</formula>
    </cfRule>
  </conditionalFormatting>
  <conditionalFormatting sqref="AC72">
    <cfRule type="cellIs" priority="1214" stopIfTrue="1" operator="greaterThan">
      <formula>0</formula>
    </cfRule>
    <cfRule type="expression" dxfId="202" priority="1216">
      <formula>ISBLANK(AC72)</formula>
    </cfRule>
    <cfRule type="expression" priority="1215" stopIfTrue="1">
      <formula>$AL$72=2</formula>
    </cfRule>
  </conditionalFormatting>
  <conditionalFormatting sqref="AC76">
    <cfRule type="expression" dxfId="201" priority="236">
      <formula>ISBLANK(AC76)</formula>
    </cfRule>
    <cfRule type="cellIs" priority="234" stopIfTrue="1" operator="greaterThan">
      <formula>0</formula>
    </cfRule>
    <cfRule type="expression" priority="235" stopIfTrue="1">
      <formula>$AL$76=2</formula>
    </cfRule>
  </conditionalFormatting>
  <conditionalFormatting sqref="AC79">
    <cfRule type="cellIs" priority="204" stopIfTrue="1" operator="greaterThan">
      <formula>0</formula>
    </cfRule>
    <cfRule type="expression" priority="205" stopIfTrue="1">
      <formula>$AL$76=2</formula>
    </cfRule>
    <cfRule type="expression" dxfId="200" priority="206">
      <formula>ISBLANK(AC79)</formula>
    </cfRule>
  </conditionalFormatting>
  <conditionalFormatting sqref="AC63:AE63 H63:J63 T63:V63">
    <cfRule type="cellIs" priority="245" stopIfTrue="1" operator="greaterThan">
      <formula>0</formula>
    </cfRule>
  </conditionalFormatting>
  <conditionalFormatting sqref="AC63:AE63">
    <cfRule type="cellIs" dxfId="199" priority="199" operator="greaterThan">
      <formula>5</formula>
    </cfRule>
  </conditionalFormatting>
  <conditionalFormatting sqref="AD183">
    <cfRule type="expression" dxfId="198" priority="183">
      <formula>ISBLANK(AD183)</formula>
    </cfRule>
  </conditionalFormatting>
  <conditionalFormatting sqref="AD6:AJ6">
    <cfRule type="cellIs" dxfId="197" priority="25" operator="equal">
      <formula>0</formula>
    </cfRule>
  </conditionalFormatting>
  <conditionalFormatting sqref="AE14:AE15">
    <cfRule type="expression" dxfId="196" priority="61">
      <formula>$AM$16=3</formula>
    </cfRule>
  </conditionalFormatting>
  <conditionalFormatting sqref="AE61 AH61">
    <cfRule type="expression" dxfId="195" priority="350">
      <formula>$AL$61=1</formula>
    </cfRule>
    <cfRule type="expression" priority="349" stopIfTrue="1">
      <formula>$AL$61=2</formula>
    </cfRule>
  </conditionalFormatting>
  <conditionalFormatting sqref="AE83 AH83">
    <cfRule type="cellIs" priority="1217" operator="greaterThan">
      <formula>0</formula>
    </cfRule>
    <cfRule type="expression" dxfId="194" priority="1218">
      <formula>$AL$83=1</formula>
    </cfRule>
  </conditionalFormatting>
  <conditionalFormatting sqref="AE92 AH92">
    <cfRule type="expression" dxfId="193" priority="389">
      <formula>$AL$92=1</formula>
    </cfRule>
  </conditionalFormatting>
  <conditionalFormatting sqref="AE14:AF15">
    <cfRule type="expression" dxfId="192" priority="60">
      <formula>$AL$14=1</formula>
    </cfRule>
  </conditionalFormatting>
  <conditionalFormatting sqref="AE17:AH17">
    <cfRule type="cellIs" dxfId="191" priority="52" operator="equal">
      <formula>0</formula>
    </cfRule>
    <cfRule type="expression" priority="51" stopIfTrue="1">
      <formula>$AL$17=1</formula>
    </cfRule>
  </conditionalFormatting>
  <conditionalFormatting sqref="AF97">
    <cfRule type="expression" dxfId="190" priority="20">
      <formula>$AO97=1</formula>
    </cfRule>
  </conditionalFormatting>
  <conditionalFormatting sqref="AF30:AH34">
    <cfRule type="cellIs" dxfId="189" priority="186" operator="equal">
      <formula>0</formula>
    </cfRule>
  </conditionalFormatting>
  <conditionalFormatting sqref="AF43:AH47">
    <cfRule type="cellIs" dxfId="188" priority="185" operator="equal">
      <formula>0</formula>
    </cfRule>
  </conditionalFormatting>
  <conditionalFormatting sqref="AF85:AH85">
    <cfRule type="cellIs" priority="207" stopIfTrue="1" operator="notEqual">
      <formula>0</formula>
    </cfRule>
    <cfRule type="expression" dxfId="187" priority="208">
      <formula>ISBLANK(AF85)</formula>
    </cfRule>
  </conditionalFormatting>
  <conditionalFormatting sqref="AG118:AG123">
    <cfRule type="expression" dxfId="186" priority="93">
      <formula>ISBLANK(AG118)</formula>
    </cfRule>
  </conditionalFormatting>
  <conditionalFormatting sqref="AG118:AI123">
    <cfRule type="expression" dxfId="185" priority="102" stopIfTrue="1">
      <formula>$AN118=1</formula>
    </cfRule>
    <cfRule type="expression" dxfId="184" priority="103">
      <formula>$AO118=1</formula>
    </cfRule>
    <cfRule type="expression" dxfId="183" priority="1198">
      <formula>$AP118=1</formula>
    </cfRule>
  </conditionalFormatting>
  <conditionalFormatting sqref="AI97 AF99 AI99">
    <cfRule type="expression" dxfId="182" priority="18">
      <formula>$AO97=1</formula>
    </cfRule>
  </conditionalFormatting>
  <conditionalFormatting sqref="AI97">
    <cfRule type="expression" dxfId="181" priority="21">
      <formula>$AP97=2</formula>
    </cfRule>
  </conditionalFormatting>
  <conditionalFormatting sqref="AI99">
    <cfRule type="expression" dxfId="180" priority="19">
      <formula>$AP99=2</formula>
    </cfRule>
  </conditionalFormatting>
  <dataValidations count="2">
    <dataValidation type="list" allowBlank="1" showInputMessage="1" showErrorMessage="1" sqref="M72:P72 M76:P76 M79:P79 M85:P85 F94:I94" xr:uid="{BBFC1B51-BAC7-408F-9A20-8A2F604EEA48}">
      <formula1>Material</formula1>
    </dataValidation>
    <dataValidation type="list" allowBlank="1" showInputMessage="1" showErrorMessage="1" sqref="W79:Y79 W85:Y85 O94:Q94" xr:uid="{1EB110C4-B9A9-486B-998B-DDE0473B8F46}">
      <formula1>Shape</formula1>
    </dataValidation>
  </dataValidations>
  <pageMargins left="0.2" right="0.2" top="0.5" bottom="0.25" header="0.3" footer="0.3"/>
  <pageSetup orientation="portrait" r:id="rId1"/>
  <rowBreaks count="3" manualBreakCount="3">
    <brk id="55" max="16383" man="1"/>
    <brk id="112" max="16383" man="1"/>
    <brk id="164" max="16383" man="1"/>
  </rowBreaks>
  <colBreaks count="1" manualBreakCount="1">
    <brk id="42"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882A8A1-F30F-482D-9CAD-3857881F815B}">
          <x14:formula1>
            <xm:f>Tables!$D$2:$D$10</xm:f>
          </x14:formula1>
          <xm:sqref>F94 M85 M79</xm:sqref>
        </x14:dataValidation>
        <x14:dataValidation type="list" allowBlank="1" showInputMessage="1" showErrorMessage="1" xr:uid="{11EBE9C6-559A-4A8F-A861-BD0023719189}">
          <x14:formula1>
            <xm:f>Tables!$H$9:$H$14</xm:f>
          </x14:formula1>
          <xm:sqref>L97:T97</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51C4120B-A3BE-410A-8B69-20C2F97E4756}">
          <x14:formula1>
            <xm:f>Tables!$B$8</xm:f>
          </x14:formula1>
          <xm:sqref>AD6:AJ6 E7:X8 AE7:AJ8 F10 M10 U10 AC10 F12 M12 U12 G14 J14 J16:M20 AA14:AD15 Y23 AB23 AE23 AH23 L25:N34 P25:R34 T25:V34 X25:Z34 AB25:AD34 AF26:AH26 AF29:AH34 L38:N47 P38:R47 T38:V47 X38:Z47 AB38:AD47 AF39:AH39 AF42:AH47 J59 M59 P59 S59 L61:N61 AE61 AH61 H63:J63 T63:V63 AC63:AE63 H65 K65 P65:T65 M68:O70 R68:T70 W68:Y70 M73:O74 W73:Y74 AC72 AC76 AC79 M77:O77 W77:Y77 M81:O81 W81:Y81 AF81:AH81 M83:O83 W83:Y83 AE83 AH83 AF85:AH86 W86:Y86 M86:O86 M88:O88 M90:O90 W88:Y88 W90:Y90 AF90:AH90 AH92 AE92 K92 N92 F95:I95 O95:Q95 W95:Y95 AF95:AH95 AF97 AF99 AI97 AI99 R99:S99 L99:M99 F99:G99 C103:E109 H103:J109 M103:P109 S103:U110 X103:Z109 AC103:AF110 O115:R115 W115:Z115 M118:O123 Q118:S123 U118:W123 Y118:AA123 AC118:AE123 AG118:AI123 B126:AJ131 C135 F135 C137 F137 I139 L139 I141 L141 O143 R143 O145 R145 C153 F153 C155 F155 C157 F157 C159 F159 F176:Z178 F179:L179 P179:S179 X179:Z179 F180:Z180 F181:J181 AD183:AH183 I147 L147 O149 R149</xm:sqref>
        </x14:dataValidation>
        <x14:dataValidation type="list" allowBlank="1" showInputMessage="1" showErrorMessage="1" xr:uid="{4D29F025-26D6-40DA-97D5-3B9ECD3F47F7}">
          <x14:formula1>
            <xm:f>Tables!$K$27:$K$30</xm:f>
          </x14:formula1>
          <xm:sqref>R151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7E9D-8F53-4B28-B0A2-9364562AF2BF}">
  <sheetPr codeName="Sheet2">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7" customWidth="1"/>
    <col min="2" max="36" width="2.77734375" style="27" customWidth="1"/>
    <col min="37" max="37" width="1.77734375" style="27" customWidth="1"/>
    <col min="38" max="38" width="2.77734375" style="27" customWidth="1"/>
    <col min="39" max="43" width="5.77734375" style="21" hidden="1" customWidth="1"/>
    <col min="44" max="79" width="2.77734375" style="27" customWidth="1"/>
    <col min="80" max="92" width="2.77734375" style="27" hidden="1" customWidth="1"/>
    <col min="93" max="16384" width="8.88671875" style="27" hidden="1"/>
  </cols>
  <sheetData>
    <row r="1" spans="2:88" ht="15" customHeight="1" x14ac:dyDescent="0.3">
      <c r="G1" s="3"/>
      <c r="H1" s="3"/>
      <c r="I1" s="3"/>
      <c r="J1" s="3"/>
      <c r="K1" s="3"/>
      <c r="L1" s="3"/>
      <c r="M1" s="3"/>
      <c r="N1" s="192" t="s">
        <v>419</v>
      </c>
      <c r="O1" s="192"/>
      <c r="P1" s="192"/>
      <c r="Q1" s="192"/>
      <c r="R1" s="192"/>
      <c r="S1" s="192"/>
      <c r="T1" s="192"/>
      <c r="U1" s="192"/>
      <c r="V1" s="192"/>
      <c r="W1" s="192"/>
      <c r="X1" s="192"/>
      <c r="Y1" s="192"/>
      <c r="Z1" s="192"/>
      <c r="AA1" s="192"/>
      <c r="AB1" s="192"/>
      <c r="AC1" s="192"/>
      <c r="AD1" s="192"/>
      <c r="AE1" s="192"/>
      <c r="AF1" s="192"/>
      <c r="AG1" s="192"/>
      <c r="AH1" s="192"/>
      <c r="AI1" s="192"/>
      <c r="AJ1" s="192"/>
      <c r="AK1" s="192"/>
      <c r="BD1" s="192" t="str">
        <f>N1</f>
        <v>Form 2D.2 - Bioretention Area
Design Form Attachment</v>
      </c>
      <c r="BE1" s="192"/>
      <c r="BF1" s="192"/>
      <c r="BG1" s="192"/>
      <c r="BH1" s="192"/>
      <c r="BI1" s="192"/>
      <c r="BJ1" s="192"/>
      <c r="BK1" s="192"/>
      <c r="BL1" s="192"/>
      <c r="BM1" s="192"/>
      <c r="BN1" s="192"/>
      <c r="BO1" s="192"/>
      <c r="BP1" s="192"/>
      <c r="BQ1" s="192"/>
      <c r="BR1" s="192"/>
      <c r="BS1" s="192"/>
      <c r="BT1" s="192"/>
      <c r="BU1" s="192"/>
      <c r="BV1" s="192"/>
      <c r="BW1" s="192"/>
      <c r="BX1" s="192"/>
      <c r="BY1" s="192"/>
      <c r="BZ1" s="192"/>
    </row>
    <row r="2" spans="2:88" ht="15" customHeight="1" x14ac:dyDescent="0.3">
      <c r="E2" s="3"/>
      <c r="F2" s="3"/>
      <c r="G2" s="3"/>
      <c r="H2" s="3"/>
      <c r="I2" s="3"/>
      <c r="J2" s="3"/>
      <c r="K2" s="3"/>
      <c r="L2" s="3"/>
      <c r="M2" s="3"/>
      <c r="N2" s="192"/>
      <c r="O2" s="192"/>
      <c r="P2" s="192"/>
      <c r="Q2" s="192"/>
      <c r="R2" s="192"/>
      <c r="S2" s="192"/>
      <c r="T2" s="192"/>
      <c r="U2" s="192"/>
      <c r="V2" s="192"/>
      <c r="W2" s="192"/>
      <c r="X2" s="192"/>
      <c r="Y2" s="192"/>
      <c r="Z2" s="192"/>
      <c r="AA2" s="192"/>
      <c r="AB2" s="192"/>
      <c r="AC2" s="192"/>
      <c r="AD2" s="192"/>
      <c r="AE2" s="192"/>
      <c r="AF2" s="192"/>
      <c r="AG2" s="192"/>
      <c r="AH2" s="192"/>
      <c r="AI2" s="192"/>
      <c r="AJ2" s="192"/>
      <c r="AK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row>
    <row r="3" spans="2:88" ht="15" customHeight="1" x14ac:dyDescent="0.3">
      <c r="E3" s="3"/>
      <c r="F3" s="3"/>
      <c r="G3" s="3"/>
      <c r="H3" s="3"/>
      <c r="I3" s="3"/>
      <c r="J3" s="3"/>
      <c r="K3" s="3"/>
      <c r="L3" s="3"/>
      <c r="M3" s="3"/>
      <c r="N3" s="192"/>
      <c r="O3" s="192"/>
      <c r="P3" s="192"/>
      <c r="Q3" s="192"/>
      <c r="R3" s="192"/>
      <c r="S3" s="192"/>
      <c r="T3" s="192"/>
      <c r="U3" s="192"/>
      <c r="V3" s="192"/>
      <c r="W3" s="192"/>
      <c r="X3" s="192"/>
      <c r="Y3" s="192"/>
      <c r="Z3" s="192"/>
      <c r="AA3" s="192"/>
      <c r="AB3" s="192"/>
      <c r="AC3" s="192"/>
      <c r="AD3" s="192"/>
      <c r="AE3" s="192"/>
      <c r="AF3" s="192"/>
      <c r="AG3" s="192"/>
      <c r="AH3" s="192"/>
      <c r="AI3" s="192"/>
      <c r="AJ3" s="192"/>
      <c r="AK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row>
    <row r="4" spans="2:88" ht="15" customHeight="1" x14ac:dyDescent="0.3">
      <c r="E4" s="3"/>
      <c r="F4" s="3"/>
      <c r="G4" s="3"/>
      <c r="H4" s="3"/>
      <c r="I4" s="3"/>
      <c r="J4" s="3"/>
      <c r="K4" s="3"/>
      <c r="L4" s="3"/>
      <c r="M4" s="3"/>
      <c r="N4" s="192"/>
      <c r="O4" s="192"/>
      <c r="P4" s="192"/>
      <c r="Q4" s="192"/>
      <c r="R4" s="192"/>
      <c r="S4" s="192"/>
      <c r="T4" s="192"/>
      <c r="U4" s="192"/>
      <c r="V4" s="192"/>
      <c r="W4" s="192"/>
      <c r="X4" s="192"/>
      <c r="Y4" s="192"/>
      <c r="Z4" s="192"/>
      <c r="AA4" s="192"/>
      <c r="AB4" s="192"/>
      <c r="AC4" s="192"/>
      <c r="AD4" s="192"/>
      <c r="AE4" s="192"/>
      <c r="AF4" s="192"/>
      <c r="AG4" s="192"/>
      <c r="AH4" s="192"/>
      <c r="AI4" s="192"/>
      <c r="AJ4" s="192"/>
      <c r="AK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row>
    <row r="5" spans="2:88" ht="4.95" customHeight="1" x14ac:dyDescent="0.3">
      <c r="E5" s="3"/>
      <c r="F5" s="3"/>
      <c r="G5" s="3"/>
      <c r="H5" s="3"/>
      <c r="I5" s="3"/>
      <c r="J5" s="3"/>
      <c r="K5" s="3"/>
      <c r="L5" s="3"/>
      <c r="M5" s="3"/>
      <c r="N5" s="3"/>
      <c r="O5" s="3"/>
      <c r="P5" s="3"/>
      <c r="Q5" s="3"/>
      <c r="R5" s="3"/>
      <c r="S5" s="3"/>
      <c r="T5" s="3"/>
      <c r="U5" s="3"/>
      <c r="V5" s="3"/>
      <c r="W5" s="3"/>
      <c r="X5" s="3"/>
      <c r="Y5" s="3"/>
      <c r="Z5" s="3"/>
      <c r="AA5" s="3"/>
      <c r="AB5" s="24"/>
      <c r="AC5" s="24"/>
      <c r="AD5" s="24"/>
      <c r="AE5" s="24"/>
      <c r="AF5" s="24"/>
      <c r="AG5" s="24"/>
      <c r="AH5" s="24"/>
      <c r="AI5" s="24"/>
      <c r="AJ5" s="24"/>
    </row>
    <row r="6" spans="2:88" ht="15" customHeight="1" x14ac:dyDescent="0.3">
      <c r="B6" s="1" t="s">
        <v>164</v>
      </c>
      <c r="C6" s="1"/>
      <c r="D6" s="1"/>
      <c r="AU6" s="22"/>
      <c r="CJ6" s="105"/>
    </row>
    <row r="7" spans="2:88" ht="15" customHeight="1" x14ac:dyDescent="0.3">
      <c r="D7" s="2" t="s">
        <v>129</v>
      </c>
      <c r="E7" s="234">
        <f>'Form 2D - Design'!E7</f>
        <v>0</v>
      </c>
      <c r="F7" s="234"/>
      <c r="G7" s="234"/>
      <c r="H7" s="234"/>
      <c r="I7" s="234"/>
      <c r="J7" s="234"/>
      <c r="K7" s="234"/>
      <c r="L7" s="234"/>
      <c r="M7" s="234"/>
      <c r="N7" s="234"/>
      <c r="O7" s="234"/>
      <c r="P7" s="234"/>
      <c r="Q7" s="234"/>
      <c r="R7" s="234"/>
      <c r="S7" s="234"/>
      <c r="T7" s="234"/>
      <c r="U7" s="234"/>
      <c r="V7" s="234"/>
      <c r="W7" s="234"/>
      <c r="X7" s="234"/>
      <c r="Y7" s="234"/>
      <c r="AD7" s="2" t="s">
        <v>165</v>
      </c>
      <c r="AE7" s="235">
        <f>'Form 2D - Design'!AE7</f>
        <v>0</v>
      </c>
      <c r="AF7" s="235"/>
      <c r="AG7" s="235"/>
      <c r="AH7" s="235"/>
      <c r="AI7" s="235"/>
      <c r="AJ7" s="235"/>
      <c r="AR7" s="181" t="s">
        <v>68</v>
      </c>
      <c r="AS7" s="181"/>
      <c r="AT7" s="181"/>
      <c r="AU7" s="181"/>
      <c r="AV7" s="181"/>
      <c r="AW7" s="181"/>
      <c r="AX7" s="181"/>
      <c r="AY7" s="181"/>
      <c r="AZ7" s="181"/>
      <c r="BA7" s="181"/>
      <c r="BB7" s="181"/>
      <c r="BC7" s="181"/>
      <c r="BD7" s="181"/>
      <c r="BE7" s="181"/>
      <c r="BF7" s="181"/>
      <c r="BG7" s="22"/>
      <c r="BH7" s="22"/>
      <c r="BI7" s="22"/>
      <c r="BJ7" s="22"/>
      <c r="BK7" s="22"/>
      <c r="BL7" s="22"/>
      <c r="BM7" s="22"/>
      <c r="BN7" s="22"/>
      <c r="BO7" s="22"/>
      <c r="BP7" s="22"/>
      <c r="BQ7" s="22"/>
      <c r="BR7" s="22"/>
      <c r="BS7" s="22"/>
      <c r="BT7" s="22"/>
      <c r="BU7" s="25"/>
      <c r="BV7" s="25"/>
      <c r="BW7" s="25"/>
      <c r="BX7" s="25"/>
      <c r="BY7" s="25"/>
      <c r="BZ7" s="25"/>
      <c r="CA7" s="25"/>
      <c r="CB7" s="25"/>
      <c r="CC7" s="25"/>
      <c r="CD7" s="25"/>
      <c r="CE7" s="25"/>
      <c r="CF7" s="25"/>
      <c r="CG7" s="25"/>
      <c r="CH7" s="25"/>
      <c r="CI7" s="25"/>
      <c r="CJ7" s="106"/>
    </row>
    <row r="8" spans="2:88" ht="15" customHeight="1" x14ac:dyDescent="0.3">
      <c r="D8" s="2" t="s">
        <v>130</v>
      </c>
      <c r="E8" s="236">
        <f>'Form 2D - Design'!E8</f>
        <v>0</v>
      </c>
      <c r="F8" s="236"/>
      <c r="G8" s="236"/>
      <c r="H8" s="236"/>
      <c r="I8" s="236"/>
      <c r="J8" s="236"/>
      <c r="K8" s="236"/>
      <c r="L8" s="236"/>
      <c r="M8" s="236"/>
      <c r="N8" s="236"/>
      <c r="O8" s="236"/>
      <c r="P8" s="236"/>
      <c r="Q8" s="236"/>
      <c r="R8" s="236"/>
      <c r="S8" s="236"/>
      <c r="T8" s="236"/>
      <c r="U8" s="236"/>
      <c r="V8" s="236"/>
      <c r="W8" s="236"/>
      <c r="X8" s="236"/>
      <c r="Y8" s="236"/>
      <c r="AB8" s="2"/>
      <c r="AE8" s="62"/>
      <c r="AF8" s="62"/>
      <c r="AG8" s="62"/>
      <c r="AH8" s="62"/>
      <c r="AI8" s="62"/>
      <c r="AJ8" s="62"/>
      <c r="AR8" s="181"/>
      <c r="AS8" s="181"/>
      <c r="AT8" s="181"/>
      <c r="AU8" s="181"/>
      <c r="AV8" s="181"/>
      <c r="AW8" s="181"/>
      <c r="AX8" s="181"/>
      <c r="AY8" s="181"/>
      <c r="AZ8" s="181"/>
      <c r="BA8" s="181"/>
      <c r="BB8" s="181"/>
      <c r="BC8" s="181"/>
      <c r="BD8" s="181"/>
      <c r="BE8" s="181"/>
      <c r="BF8" s="181"/>
      <c r="BG8" s="87"/>
      <c r="BH8" s="87"/>
      <c r="BI8" s="87"/>
      <c r="BJ8" s="87"/>
      <c r="BK8" s="87"/>
      <c r="BL8" s="87"/>
      <c r="BM8" s="87"/>
      <c r="BN8" s="87"/>
      <c r="BO8" s="87"/>
      <c r="BP8" s="87"/>
      <c r="BQ8" s="87"/>
      <c r="BR8" s="87"/>
      <c r="BS8" s="87"/>
      <c r="BT8" s="87"/>
      <c r="BU8" s="105"/>
      <c r="BV8" s="105"/>
      <c r="BW8" s="105"/>
      <c r="BX8" s="105"/>
      <c r="BY8" s="105"/>
      <c r="BZ8" s="105"/>
      <c r="CA8" s="105"/>
      <c r="CB8" s="105"/>
      <c r="CC8" s="105"/>
      <c r="CD8" s="105"/>
      <c r="CE8" s="105"/>
      <c r="CF8" s="105"/>
      <c r="CG8" s="105"/>
      <c r="CH8" s="105"/>
      <c r="CI8" s="105"/>
      <c r="CJ8" s="25"/>
    </row>
    <row r="9" spans="2:88" ht="15" customHeight="1" x14ac:dyDescent="0.3">
      <c r="S9" s="2" t="s">
        <v>166</v>
      </c>
      <c r="T9" s="237">
        <f>'Form 2D - Design'!O115</f>
        <v>0</v>
      </c>
      <c r="U9" s="237"/>
      <c r="V9" s="237"/>
      <c r="W9" s="237"/>
      <c r="X9" s="237"/>
      <c r="Y9" s="237"/>
      <c r="AC9" s="10"/>
      <c r="AR9" s="22">
        <v>1</v>
      </c>
      <c r="AS9" s="86" t="s">
        <v>364</v>
      </c>
      <c r="AT9" s="87"/>
      <c r="AU9" s="22"/>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105"/>
      <c r="BV9" s="105"/>
      <c r="BW9" s="105"/>
      <c r="BX9" s="105"/>
      <c r="BY9" s="105"/>
      <c r="BZ9" s="105"/>
      <c r="CA9" s="105"/>
      <c r="CB9" s="105"/>
      <c r="CC9" s="105"/>
      <c r="CD9" s="105"/>
      <c r="CE9" s="105"/>
      <c r="CF9" s="105"/>
      <c r="CG9" s="105"/>
      <c r="CH9" s="105"/>
      <c r="CI9" s="105"/>
    </row>
    <row r="10" spans="2:88" ht="15" customHeight="1" x14ac:dyDescent="0.3">
      <c r="E10" s="2" t="s">
        <v>375</v>
      </c>
      <c r="F10" s="56"/>
      <c r="G10" s="10" t="s">
        <v>376</v>
      </c>
      <c r="H10" s="108"/>
      <c r="I10" s="56"/>
      <c r="J10" s="10" t="s">
        <v>377</v>
      </c>
      <c r="S10" s="2" t="s">
        <v>167</v>
      </c>
      <c r="T10" s="232">
        <f>'Form 2D - Design'!W115</f>
        <v>0</v>
      </c>
      <c r="U10" s="232"/>
      <c r="V10" s="232"/>
      <c r="W10" s="232"/>
      <c r="X10" s="232"/>
      <c r="Y10" s="232"/>
      <c r="AC10" s="10"/>
      <c r="AD10" s="2" t="s">
        <v>501</v>
      </c>
      <c r="AE10" s="233">
        <f>'Form 2D - Design'!AE8</f>
        <v>0</v>
      </c>
      <c r="AF10" s="233"/>
      <c r="AG10" s="233"/>
      <c r="AH10" s="233"/>
      <c r="AI10" s="233"/>
      <c r="AJ10" s="233"/>
      <c r="AR10" s="87"/>
      <c r="AS10" s="22" t="s">
        <v>93</v>
      </c>
      <c r="AT10" s="64" t="s">
        <v>365</v>
      </c>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5"/>
      <c r="BV10" s="25"/>
      <c r="BW10" s="25"/>
      <c r="BX10" s="25"/>
      <c r="BY10" s="25"/>
      <c r="BZ10" s="25"/>
      <c r="CA10" s="25"/>
      <c r="CB10" s="25"/>
      <c r="CC10" s="25"/>
      <c r="CD10" s="25"/>
      <c r="CE10" s="25"/>
      <c r="CF10" s="25"/>
      <c r="CG10" s="25"/>
      <c r="CH10" s="25"/>
      <c r="CI10" s="25"/>
      <c r="CJ10" s="25"/>
    </row>
    <row r="11" spans="2:88" ht="15" customHeight="1" x14ac:dyDescent="0.3">
      <c r="AM11" s="93">
        <f>IF(AND(ISBLANK(F10),ISBLANK(I10)),0,1)</f>
        <v>0</v>
      </c>
      <c r="AN11" s="93">
        <f>IF(ISBLANK(F10),0,1)</f>
        <v>0</v>
      </c>
      <c r="AO11" s="93">
        <f>IF(ISBLANK(I10),0,2)</f>
        <v>0</v>
      </c>
      <c r="AP11" s="93">
        <f>IF(ISBLANK(F10),1,IF(ISBLANK(I10),2,3))</f>
        <v>1</v>
      </c>
      <c r="AQ11" s="93">
        <f>SUM(AN11:AO11)</f>
        <v>0</v>
      </c>
      <c r="AS11" s="4" t="s">
        <v>94</v>
      </c>
      <c r="AT11" s="64" t="s">
        <v>366</v>
      </c>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5"/>
      <c r="BV11" s="25"/>
      <c r="BW11" s="25"/>
      <c r="BX11" s="25"/>
      <c r="BY11" s="25"/>
      <c r="BZ11" s="25"/>
      <c r="CA11" s="25"/>
      <c r="CB11" s="25"/>
      <c r="CC11" s="25"/>
      <c r="CD11" s="25"/>
      <c r="CE11" s="25"/>
      <c r="CF11" s="25"/>
      <c r="CG11" s="25"/>
      <c r="CH11" s="25"/>
      <c r="CI11" s="25"/>
      <c r="CJ11" s="25"/>
    </row>
    <row r="12" spans="2:88" ht="15" customHeight="1" x14ac:dyDescent="0.3">
      <c r="C12" s="2"/>
      <c r="E12" s="2" t="s">
        <v>173</v>
      </c>
      <c r="F12" s="56"/>
      <c r="G12" s="27" t="s">
        <v>368</v>
      </c>
      <c r="M12" s="107"/>
      <c r="U12" s="2" t="s">
        <v>369</v>
      </c>
      <c r="V12" s="56"/>
      <c r="W12" s="10" t="s">
        <v>370</v>
      </c>
      <c r="AG12" s="2" t="s">
        <v>371</v>
      </c>
      <c r="AH12" s="195"/>
      <c r="AI12" s="195"/>
      <c r="AM12" s="93">
        <f>IF(AND(ISBLANK(V12),ISBLANK(V14)),0,1)</f>
        <v>0</v>
      </c>
      <c r="AN12" s="93">
        <f>IF(ISBLANK(V12),0,1)</f>
        <v>0</v>
      </c>
      <c r="AO12" s="93">
        <f>IF(ISBLANK(V14),0,1)</f>
        <v>0</v>
      </c>
      <c r="AP12" s="93">
        <f>IF(ISBLANK(V12),1,IF(ISBLANK(V14),2,3))</f>
        <v>1</v>
      </c>
      <c r="AR12" s="22"/>
      <c r="AS12" s="4" t="s">
        <v>105</v>
      </c>
      <c r="AT12" s="27" t="s">
        <v>367</v>
      </c>
    </row>
    <row r="13" spans="2:88" ht="4.95" customHeight="1" x14ac:dyDescent="0.3">
      <c r="C13" s="2"/>
      <c r="D13" s="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5"/>
      <c r="BV13" s="25"/>
      <c r="BW13" s="25"/>
      <c r="BX13" s="25"/>
      <c r="BY13" s="25"/>
      <c r="BZ13" s="25"/>
      <c r="CA13" s="25"/>
      <c r="CB13" s="25"/>
      <c r="CC13" s="25"/>
      <c r="CD13" s="25"/>
      <c r="CE13" s="25"/>
      <c r="CF13" s="25"/>
      <c r="CG13" s="25"/>
      <c r="CH13" s="25"/>
      <c r="CI13" s="25"/>
      <c r="CJ13" s="25"/>
    </row>
    <row r="14" spans="2:88" ht="15" customHeight="1" x14ac:dyDescent="0.3">
      <c r="F14" s="56"/>
      <c r="G14" s="27" t="s">
        <v>372</v>
      </c>
      <c r="V14" s="56"/>
      <c r="W14" s="10" t="s">
        <v>373</v>
      </c>
      <c r="AG14" s="2" t="s">
        <v>374</v>
      </c>
      <c r="AH14" s="195"/>
      <c r="AI14" s="195"/>
      <c r="AM14" s="93">
        <f>IF(ISBLANK(V12),0,1)</f>
        <v>0</v>
      </c>
      <c r="AN14" s="93">
        <f>IF(ISBLANK(V14),0,2)</f>
        <v>0</v>
      </c>
      <c r="AO14" s="93">
        <f>SUM(AM14:AN14)</f>
        <v>0</v>
      </c>
      <c r="AS14" s="4" t="s">
        <v>106</v>
      </c>
      <c r="AT14" s="27" t="s">
        <v>387</v>
      </c>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5"/>
      <c r="BV14" s="25"/>
      <c r="BW14" s="25"/>
      <c r="BX14" s="25"/>
      <c r="BY14" s="25"/>
      <c r="BZ14" s="25"/>
      <c r="CA14" s="25"/>
      <c r="CB14" s="25"/>
      <c r="CC14" s="25"/>
      <c r="CD14" s="25"/>
      <c r="CE14" s="25"/>
      <c r="CF14" s="25"/>
      <c r="CG14" s="25"/>
      <c r="CH14" s="25"/>
      <c r="CI14" s="25"/>
      <c r="CJ14" s="25"/>
    </row>
    <row r="15" spans="2:88" ht="15" customHeight="1" x14ac:dyDescent="0.3">
      <c r="AK15" s="2"/>
      <c r="AL15" s="2"/>
      <c r="AR15" s="117" t="s">
        <v>425</v>
      </c>
      <c r="AS15" s="64" t="s">
        <v>426</v>
      </c>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5"/>
      <c r="BV15" s="25"/>
      <c r="BW15" s="25"/>
      <c r="BX15" s="25"/>
      <c r="BY15" s="25"/>
      <c r="BZ15" s="25"/>
      <c r="CA15" s="25"/>
      <c r="CB15" s="25"/>
      <c r="CC15" s="25"/>
      <c r="CD15" s="25"/>
      <c r="CE15" s="25"/>
      <c r="CF15" s="25"/>
      <c r="CG15" s="25"/>
      <c r="CH15" s="25"/>
      <c r="CI15" s="25"/>
      <c r="CJ15" s="25"/>
    </row>
    <row r="16" spans="2:88" ht="15" customHeight="1" x14ac:dyDescent="0.3">
      <c r="B16" s="56"/>
      <c r="C16" s="27" t="s">
        <v>121</v>
      </c>
      <c r="E16" s="56"/>
      <c r="F16" s="27" t="s">
        <v>120</v>
      </c>
      <c r="G16" s="2"/>
      <c r="H16" s="27" t="s">
        <v>383</v>
      </c>
      <c r="AE16" s="2"/>
      <c r="AK16" s="2"/>
      <c r="AL16" s="2"/>
      <c r="AM16" s="93">
        <f>IF(AND(ISBLANK(B16),ISBLANK(E16)),1,2)</f>
        <v>1</v>
      </c>
      <c r="AN16" s="93">
        <f>IF(ISBLANK(B16),1,2)</f>
        <v>1</v>
      </c>
      <c r="AO16" s="93">
        <f>IF(ISBLANK(B16),0,2)</f>
        <v>0</v>
      </c>
      <c r="AP16" s="93">
        <f>IF(ISBLANK(B16),1,IF(ISBLANK(E16),2,3))</f>
        <v>1</v>
      </c>
      <c r="AR16" s="117">
        <v>3</v>
      </c>
      <c r="AS16" s="27" t="s">
        <v>456</v>
      </c>
      <c r="AU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5"/>
      <c r="BV16" s="25"/>
      <c r="BW16" s="25"/>
      <c r="BX16" s="25"/>
      <c r="BY16" s="25"/>
      <c r="BZ16" s="25"/>
      <c r="CA16" s="25"/>
      <c r="CB16" s="25"/>
      <c r="CC16" s="25"/>
      <c r="CD16" s="25"/>
      <c r="CE16" s="25"/>
      <c r="CF16" s="25"/>
      <c r="CG16" s="25"/>
      <c r="CH16" s="25"/>
      <c r="CI16" s="25"/>
      <c r="CJ16" s="25"/>
    </row>
    <row r="17" spans="2:88" ht="4.95" customHeight="1" x14ac:dyDescent="0.3">
      <c r="B17" s="2"/>
      <c r="C17" s="2"/>
      <c r="D17" s="2"/>
      <c r="E17" s="2"/>
      <c r="F17" s="2"/>
      <c r="G17" s="2"/>
      <c r="AE17" s="2"/>
      <c r="AF17" s="2"/>
      <c r="AG17" s="2"/>
      <c r="AH17" s="2"/>
      <c r="AI17" s="2"/>
      <c r="AJ17" s="2"/>
      <c r="AK17" s="2"/>
      <c r="AL17" s="2"/>
      <c r="AR17" s="22"/>
      <c r="AS17" s="22"/>
      <c r="AT17" s="64"/>
      <c r="AU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5"/>
      <c r="BV17" s="25"/>
      <c r="BW17" s="25"/>
      <c r="BX17" s="25"/>
      <c r="BY17" s="25"/>
      <c r="BZ17" s="25"/>
      <c r="CA17" s="25"/>
      <c r="CB17" s="25"/>
      <c r="CC17" s="25"/>
      <c r="CD17" s="25"/>
      <c r="CE17" s="25"/>
      <c r="CF17" s="25"/>
      <c r="CG17" s="25"/>
      <c r="CH17" s="25"/>
      <c r="CI17" s="25"/>
      <c r="CJ17" s="25"/>
    </row>
    <row r="18" spans="2:88" ht="15" customHeight="1" x14ac:dyDescent="0.3">
      <c r="B18" s="56"/>
      <c r="C18" s="27" t="s">
        <v>121</v>
      </c>
      <c r="E18" s="56"/>
      <c r="F18" s="27" t="s">
        <v>120</v>
      </c>
      <c r="G18" s="2"/>
      <c r="H18" s="27" t="s">
        <v>378</v>
      </c>
      <c r="AK18" s="2"/>
      <c r="AL18" s="2"/>
      <c r="AM18" s="93">
        <f>IF(AND(ISBLANK(B18),ISBLANK(E18)),1,2)</f>
        <v>1</v>
      </c>
      <c r="AN18" s="93">
        <f>IF(ISBLANK(B18),1,2)</f>
        <v>1</v>
      </c>
      <c r="AO18" s="93">
        <f>IF(ISBLANK(B18),0,2)</f>
        <v>0</v>
      </c>
      <c r="AP18" s="93">
        <f>IF(ISBLANK(B18),1,IF(ISBLANK(E18),2,3))</f>
        <v>1</v>
      </c>
      <c r="AR18" s="25"/>
      <c r="AS18" s="4" t="s">
        <v>93</v>
      </c>
      <c r="AT18" s="27" t="s">
        <v>457</v>
      </c>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5"/>
      <c r="BV18" s="25"/>
      <c r="BW18" s="25"/>
      <c r="BX18" s="25"/>
      <c r="BY18" s="25"/>
      <c r="BZ18" s="25"/>
      <c r="CA18" s="25"/>
      <c r="CB18" s="25"/>
      <c r="CC18" s="25"/>
      <c r="CD18" s="25"/>
      <c r="CE18" s="25"/>
      <c r="CF18" s="25"/>
      <c r="CG18" s="25"/>
      <c r="CH18" s="25"/>
      <c r="CI18" s="25"/>
      <c r="CJ18" s="25"/>
    </row>
    <row r="19" spans="2:88" ht="4.95" customHeight="1" x14ac:dyDescent="0.3">
      <c r="B19" s="2"/>
      <c r="C19" s="2"/>
      <c r="D19" s="2"/>
      <c r="E19" s="2"/>
      <c r="F19" s="2"/>
      <c r="G19" s="2"/>
      <c r="AE19" s="2"/>
      <c r="AF19" s="2"/>
      <c r="AG19" s="2"/>
      <c r="AH19" s="2"/>
      <c r="AI19" s="2"/>
      <c r="AJ19" s="2"/>
      <c r="AK19" s="2"/>
      <c r="AL19" s="2"/>
      <c r="AR19" s="25"/>
      <c r="AS19" s="22"/>
      <c r="AT19" s="64"/>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5"/>
      <c r="BV19" s="25"/>
      <c r="BW19" s="25"/>
      <c r="BX19" s="25"/>
      <c r="BY19" s="25"/>
      <c r="BZ19" s="25"/>
      <c r="CA19" s="25"/>
      <c r="CB19" s="25"/>
      <c r="CC19" s="25"/>
      <c r="CD19" s="25"/>
      <c r="CE19" s="25"/>
      <c r="CF19" s="25"/>
      <c r="CG19" s="25"/>
      <c r="CH19" s="25"/>
      <c r="CI19" s="25"/>
      <c r="CJ19" s="25"/>
    </row>
    <row r="20" spans="2:88" ht="15" customHeight="1" x14ac:dyDescent="0.3">
      <c r="B20" s="56"/>
      <c r="C20" s="27" t="s">
        <v>121</v>
      </c>
      <c r="E20" s="56"/>
      <c r="F20" s="27" t="s">
        <v>120</v>
      </c>
      <c r="G20" s="2"/>
      <c r="H20" s="27" t="s">
        <v>384</v>
      </c>
      <c r="AJ20" s="2"/>
      <c r="AK20" s="2"/>
      <c r="AL20" s="2"/>
      <c r="AM20" s="93">
        <f>IF(AND(ISBLANK(B20),ISBLANK(E20)),1,2)</f>
        <v>1</v>
      </c>
      <c r="AN20" s="93">
        <f>IF(ISBLANK(B20),1,2)</f>
        <v>1</v>
      </c>
      <c r="AO20" s="93">
        <f>IF(ISBLANK(B20),0,2)</f>
        <v>0</v>
      </c>
      <c r="AP20" s="93">
        <f>IF(ISBLANK(B20),1,IF(ISBLANK(E20),2,3))</f>
        <v>1</v>
      </c>
      <c r="AR20" s="25"/>
      <c r="AS20" s="4" t="s">
        <v>94</v>
      </c>
      <c r="AT20" s="64" t="s">
        <v>458</v>
      </c>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5"/>
      <c r="BV20" s="25"/>
      <c r="BW20" s="25"/>
      <c r="BX20" s="25"/>
      <c r="BY20" s="25"/>
      <c r="BZ20" s="25"/>
      <c r="CA20" s="25"/>
      <c r="CB20" s="25"/>
      <c r="CC20" s="25"/>
      <c r="CD20" s="25"/>
      <c r="CE20" s="25"/>
      <c r="CF20" s="25"/>
      <c r="CG20" s="25"/>
      <c r="CH20" s="25"/>
      <c r="CI20" s="25"/>
      <c r="CJ20" s="25"/>
    </row>
    <row r="21" spans="2:88" ht="4.95" customHeight="1" x14ac:dyDescent="0.3">
      <c r="B21" s="2"/>
      <c r="C21" s="2"/>
      <c r="D21" s="2"/>
      <c r="E21" s="2"/>
      <c r="F21" s="2"/>
      <c r="G21" s="2"/>
      <c r="AE21" s="2"/>
      <c r="AF21" s="2"/>
      <c r="AG21" s="2"/>
      <c r="AJ21" s="2"/>
      <c r="AK21" s="2"/>
      <c r="AL21" s="2"/>
      <c r="AR21" s="25"/>
      <c r="AS21" s="22"/>
      <c r="AT21" s="64"/>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5"/>
      <c r="BV21" s="25"/>
      <c r="BW21" s="25"/>
      <c r="BX21" s="25"/>
      <c r="BY21" s="25"/>
      <c r="BZ21" s="25"/>
      <c r="CA21" s="25"/>
      <c r="CB21" s="25"/>
      <c r="CC21" s="25"/>
      <c r="CD21" s="25"/>
      <c r="CE21" s="25"/>
      <c r="CF21" s="25"/>
      <c r="CG21" s="25"/>
      <c r="CH21" s="25"/>
      <c r="CI21" s="25"/>
      <c r="CJ21" s="25"/>
    </row>
    <row r="22" spans="2:88" ht="15" customHeight="1" x14ac:dyDescent="0.3">
      <c r="B22" s="2"/>
      <c r="C22" s="2"/>
      <c r="D22" s="2"/>
      <c r="E22" s="2"/>
      <c r="F22" s="2"/>
      <c r="G22" s="2"/>
      <c r="K22" s="180" t="str">
        <f>IF($AO$14=1,"Phase",IF($AO$14=2,"Lot","Type?"))</f>
        <v>Type?</v>
      </c>
      <c r="L22" s="180"/>
      <c r="M22" s="180"/>
      <c r="R22" s="180" t="s">
        <v>423</v>
      </c>
      <c r="S22" s="180"/>
      <c r="T22" s="180"/>
      <c r="Y22" s="180" t="s">
        <v>424</v>
      </c>
      <c r="Z22" s="180"/>
      <c r="AA22" s="180"/>
      <c r="AE22" s="2"/>
      <c r="AF22" s="2"/>
      <c r="AG22" s="2"/>
      <c r="AJ22" s="2"/>
      <c r="AK22" s="2"/>
      <c r="AL22" s="2"/>
      <c r="AS22" s="22" t="s">
        <v>105</v>
      </c>
      <c r="AT22" s="27" t="s">
        <v>459</v>
      </c>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5"/>
      <c r="BV22" s="25"/>
      <c r="BW22" s="25"/>
      <c r="BX22" s="25"/>
      <c r="BY22" s="25"/>
      <c r="BZ22" s="25"/>
      <c r="CA22" s="25"/>
      <c r="CB22" s="25"/>
      <c r="CC22" s="25"/>
      <c r="CD22" s="25"/>
      <c r="CE22" s="25"/>
      <c r="CF22" s="25"/>
      <c r="CG22" s="25"/>
      <c r="CH22" s="25"/>
      <c r="CI22" s="25"/>
      <c r="CJ22" s="25"/>
    </row>
    <row r="23" spans="2:88" ht="15" customHeight="1" x14ac:dyDescent="0.3">
      <c r="B23" s="180" t="s">
        <v>548</v>
      </c>
      <c r="C23" s="180"/>
      <c r="D23" s="180"/>
      <c r="F23" s="180" t="str">
        <f>IF($AO$14=1,"No. Lots",IF($AO$14=2,"Lot ID","Type?"))</f>
        <v>Type?</v>
      </c>
      <c r="G23" s="180"/>
      <c r="H23" s="180"/>
      <c r="K23" s="180" t="s">
        <v>18</v>
      </c>
      <c r="L23" s="180"/>
      <c r="M23" s="180"/>
      <c r="R23" s="180" t="s">
        <v>379</v>
      </c>
      <c r="S23" s="180"/>
      <c r="T23" s="180"/>
      <c r="Y23" s="180" t="s">
        <v>379</v>
      </c>
      <c r="Z23" s="180"/>
      <c r="AA23" s="180"/>
      <c r="AD23" s="27" t="s">
        <v>503</v>
      </c>
      <c r="AR23" s="25"/>
      <c r="AS23" s="22" t="s">
        <v>106</v>
      </c>
      <c r="AT23" s="64" t="s">
        <v>460</v>
      </c>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5"/>
      <c r="BV23" s="25"/>
      <c r="BW23" s="25"/>
      <c r="BX23" s="25"/>
      <c r="BY23" s="25"/>
      <c r="BZ23" s="25"/>
      <c r="CA23" s="25"/>
      <c r="CB23" s="25"/>
      <c r="CC23" s="25"/>
      <c r="CD23" s="25"/>
      <c r="CE23" s="25"/>
      <c r="CF23" s="25"/>
      <c r="CG23" s="25"/>
      <c r="CH23" s="25"/>
      <c r="CI23" s="25"/>
      <c r="CJ23" s="25"/>
    </row>
    <row r="24" spans="2:88" ht="15" customHeight="1" x14ac:dyDescent="0.3">
      <c r="B24" s="227"/>
      <c r="C24" s="227"/>
      <c r="D24" s="227"/>
      <c r="F24" s="227"/>
      <c r="G24" s="227"/>
      <c r="H24" s="227"/>
      <c r="K24" s="228"/>
      <c r="L24" s="228"/>
      <c r="M24" s="228"/>
      <c r="N24" s="201" t="str">
        <f>IF($AQ$11=0,"Units?",IF($AQ$11=1,"ac",IF($AQ$11=2,"sq-ft","Error")))</f>
        <v>Units?</v>
      </c>
      <c r="O24" s="201"/>
      <c r="R24" s="228"/>
      <c r="S24" s="228"/>
      <c r="T24" s="228"/>
      <c r="U24" s="201" t="str">
        <f>IF($AQ$11=0,"Units?",IF($AQ$11=1,"ac",IF($AQ$11=2,"sq-ft","Error")))</f>
        <v>Units?</v>
      </c>
      <c r="V24" s="201"/>
      <c r="Y24" s="228"/>
      <c r="Z24" s="228"/>
      <c r="AA24" s="228"/>
      <c r="AB24" s="201" t="str">
        <f>IF($AQ$11=0,"Units?",IF($AQ$11=1,"ac",IF($AQ$11=2,"sq-ft","Error")))</f>
        <v>Units?</v>
      </c>
      <c r="AC24" s="201"/>
      <c r="AE24" s="56"/>
      <c r="AF24" s="27" t="s">
        <v>120</v>
      </c>
      <c r="AH24" s="56"/>
      <c r="AI24" s="27" t="s">
        <v>121</v>
      </c>
      <c r="AM24" s="93">
        <f>IF(ISBLANK(B24),1,2)</f>
        <v>1</v>
      </c>
      <c r="AN24" s="93">
        <f>IF(AND(ISBLANK(AE24),ISBLANK(AH24)),0,1)</f>
        <v>0</v>
      </c>
      <c r="AO24" s="93">
        <f>IF(AND(ISBLANK(AE24),LEN(AH24)&gt;0),2,1)</f>
        <v>1</v>
      </c>
      <c r="AP24" s="93">
        <f>IF(ISBLANK(AE24),1,IF(ISBLANK(AH24),2,3))</f>
        <v>1</v>
      </c>
      <c r="AS24" s="22" t="s">
        <v>104</v>
      </c>
      <c r="AT24" s="64" t="s">
        <v>461</v>
      </c>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5"/>
      <c r="BV24" s="25"/>
      <c r="BW24" s="25"/>
      <c r="BX24" s="25"/>
      <c r="BY24" s="25"/>
      <c r="BZ24" s="25"/>
      <c r="CA24" s="25"/>
      <c r="CB24" s="25"/>
      <c r="CC24" s="25"/>
      <c r="CD24" s="25"/>
      <c r="CE24" s="25"/>
      <c r="CF24" s="25"/>
      <c r="CG24" s="25"/>
      <c r="CH24" s="25"/>
      <c r="CI24" s="25"/>
      <c r="CJ24" s="25"/>
    </row>
    <row r="25" spans="2:88" ht="4.95" customHeight="1" x14ac:dyDescent="0.3">
      <c r="C25" s="4"/>
      <c r="F25" s="36"/>
      <c r="G25" s="36"/>
      <c r="K25" s="110"/>
      <c r="L25" s="110"/>
      <c r="M25" s="110"/>
      <c r="N25" s="10"/>
      <c r="O25" s="10"/>
      <c r="R25" s="110"/>
      <c r="S25" s="110"/>
      <c r="T25" s="110"/>
      <c r="U25" s="10"/>
      <c r="V25" s="10"/>
      <c r="Y25" s="110"/>
      <c r="Z25" s="110"/>
      <c r="AA25" s="110"/>
      <c r="AB25" s="10"/>
      <c r="AC25" s="10"/>
      <c r="AE25" s="111"/>
      <c r="AH25" s="111"/>
      <c r="AM25" s="21">
        <f t="shared" ref="AM25:AM51" si="0">B25</f>
        <v>0</v>
      </c>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5"/>
      <c r="BV25" s="25"/>
      <c r="BW25" s="25"/>
      <c r="BX25" s="25"/>
      <c r="BY25" s="25"/>
      <c r="BZ25" s="25"/>
      <c r="CA25" s="25"/>
      <c r="CB25" s="25"/>
      <c r="CC25" s="25"/>
      <c r="CD25" s="25"/>
      <c r="CE25" s="25"/>
      <c r="CF25" s="25"/>
      <c r="CG25" s="25"/>
      <c r="CH25" s="25"/>
      <c r="CI25" s="25"/>
      <c r="CJ25" s="25"/>
    </row>
    <row r="26" spans="2:88" ht="15" customHeight="1" x14ac:dyDescent="0.3">
      <c r="B26" s="227"/>
      <c r="C26" s="227"/>
      <c r="D26" s="227"/>
      <c r="F26" s="227"/>
      <c r="G26" s="227"/>
      <c r="H26" s="227"/>
      <c r="K26" s="228"/>
      <c r="L26" s="228"/>
      <c r="M26" s="228"/>
      <c r="N26" s="201" t="str">
        <f>IF($AQ$11=0,"Units?",IF($AQ$11=1,"ac",IF($AQ$11=2,"sq-ft","Error")))</f>
        <v>Units?</v>
      </c>
      <c r="O26" s="201"/>
      <c r="R26" s="228"/>
      <c r="S26" s="228"/>
      <c r="T26" s="228"/>
      <c r="U26" s="201" t="str">
        <f>IF($AQ$11=0,"Units?",IF($AQ$11=1,"ac",IF($AQ$11=2,"sq-ft","Error")))</f>
        <v>Units?</v>
      </c>
      <c r="V26" s="201"/>
      <c r="Y26" s="228"/>
      <c r="Z26" s="228"/>
      <c r="AA26" s="228"/>
      <c r="AB26" s="201" t="str">
        <f>IF($AQ$11=0,"Units?",IF($AQ$11=1,"ac",IF($AQ$11=2,"sq-ft","Error")))</f>
        <v>Units?</v>
      </c>
      <c r="AC26" s="201"/>
      <c r="AE26" s="56"/>
      <c r="AF26" s="27" t="s">
        <v>120</v>
      </c>
      <c r="AH26" s="56"/>
      <c r="AI26" s="27" t="s">
        <v>121</v>
      </c>
      <c r="AM26" s="93">
        <f>IF(ISBLANK(B26),1,2)</f>
        <v>1</v>
      </c>
      <c r="AN26" s="93">
        <f>IF(AND(ISBLANK(AE26),ISBLANK(AH26)),0,1)</f>
        <v>0</v>
      </c>
      <c r="AO26" s="93">
        <f>IF(AND(ISBLANK(AE26),LEN(AH26)&gt;0),2,1)</f>
        <v>1</v>
      </c>
      <c r="AP26" s="93">
        <f>IF(ISBLANK(AE26),1,IF(ISBLANK(AH26),2,3))</f>
        <v>1</v>
      </c>
      <c r="AS26" s="22" t="s">
        <v>107</v>
      </c>
      <c r="AT26" s="64" t="s">
        <v>462</v>
      </c>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5"/>
      <c r="BV26" s="25"/>
      <c r="BW26" s="25"/>
      <c r="BX26" s="25"/>
      <c r="BY26" s="25"/>
      <c r="BZ26" s="25"/>
      <c r="CA26" s="25"/>
      <c r="CB26" s="25"/>
      <c r="CC26" s="25"/>
      <c r="CD26" s="25"/>
      <c r="CE26" s="25"/>
      <c r="CF26" s="25"/>
      <c r="CG26" s="25"/>
      <c r="CH26" s="25"/>
      <c r="CI26" s="25"/>
      <c r="CJ26" s="25"/>
    </row>
    <row r="27" spans="2:88" ht="4.95" customHeight="1" x14ac:dyDescent="0.3">
      <c r="C27" s="4"/>
      <c r="F27" s="36"/>
      <c r="G27" s="36"/>
      <c r="K27" s="110"/>
      <c r="L27" s="110"/>
      <c r="M27" s="110"/>
      <c r="N27" s="10"/>
      <c r="O27" s="10"/>
      <c r="R27" s="110"/>
      <c r="S27" s="110"/>
      <c r="T27" s="110"/>
      <c r="U27" s="10"/>
      <c r="V27" s="10"/>
      <c r="Y27" s="110"/>
      <c r="Z27" s="110"/>
      <c r="AA27" s="110"/>
      <c r="AB27" s="10"/>
      <c r="AC27" s="10"/>
      <c r="AE27" s="111"/>
      <c r="AH27" s="111"/>
      <c r="AM27" s="21">
        <f t="shared" si="0"/>
        <v>0</v>
      </c>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5"/>
      <c r="BV27" s="25"/>
      <c r="BW27" s="25"/>
      <c r="BX27" s="25"/>
      <c r="BY27" s="25"/>
      <c r="BZ27" s="25"/>
      <c r="CA27" s="25"/>
      <c r="CB27" s="25"/>
      <c r="CC27" s="25"/>
      <c r="CD27" s="25"/>
      <c r="CE27" s="25"/>
      <c r="CF27" s="25"/>
      <c r="CG27" s="25"/>
      <c r="CH27" s="25"/>
      <c r="CI27" s="25"/>
      <c r="CJ27" s="25"/>
    </row>
    <row r="28" spans="2:88" ht="15" customHeight="1" x14ac:dyDescent="0.3">
      <c r="B28" s="227"/>
      <c r="C28" s="227"/>
      <c r="D28" s="227"/>
      <c r="F28" s="227"/>
      <c r="G28" s="227"/>
      <c r="H28" s="227"/>
      <c r="K28" s="228"/>
      <c r="L28" s="228"/>
      <c r="M28" s="228"/>
      <c r="N28" s="201" t="str">
        <f>IF($AQ$11=0,"Units?",IF($AQ$11=1,"ac",IF($AQ$11=2,"sq-ft","Error")))</f>
        <v>Units?</v>
      </c>
      <c r="O28" s="201"/>
      <c r="R28" s="228"/>
      <c r="S28" s="228"/>
      <c r="T28" s="228"/>
      <c r="U28" s="201" t="str">
        <f>IF($AQ$11=0,"Units?",IF($AQ$11=1,"ac",IF($AQ$11=2,"sq-ft","Error")))</f>
        <v>Units?</v>
      </c>
      <c r="V28" s="201"/>
      <c r="Y28" s="228"/>
      <c r="Z28" s="228"/>
      <c r="AA28" s="228"/>
      <c r="AB28" s="201" t="str">
        <f>IF($AQ$11=0,"Units?",IF($AQ$11=1,"ac",IF($AQ$11=2,"sq-ft","Error")))</f>
        <v>Units?</v>
      </c>
      <c r="AC28" s="201"/>
      <c r="AE28" s="56"/>
      <c r="AF28" s="27" t="s">
        <v>120</v>
      </c>
      <c r="AH28" s="56"/>
      <c r="AI28" s="27" t="s">
        <v>121</v>
      </c>
      <c r="AM28" s="93">
        <f>IF(ISBLANK(B28),1,2)</f>
        <v>1</v>
      </c>
      <c r="AN28" s="93">
        <f>IF(AND(ISBLANK(AE28),ISBLANK(AH28)),0,1)</f>
        <v>0</v>
      </c>
      <c r="AO28" s="93">
        <f>IF(AND(ISBLANK(AE28),LEN(AH28)&gt;0),2,1)</f>
        <v>1</v>
      </c>
      <c r="AP28" s="93">
        <f>IF(ISBLANK(AE28),1,IF(ISBLANK(AH28),2,3))</f>
        <v>1</v>
      </c>
      <c r="AR28" s="117">
        <v>4</v>
      </c>
      <c r="AS28" s="64" t="s">
        <v>502</v>
      </c>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5"/>
      <c r="BV28" s="25"/>
      <c r="BW28" s="25"/>
      <c r="BX28" s="25"/>
      <c r="BY28" s="25"/>
      <c r="BZ28" s="25"/>
      <c r="CA28" s="25"/>
      <c r="CB28" s="25"/>
      <c r="CC28" s="25"/>
      <c r="CD28" s="25"/>
      <c r="CE28" s="25"/>
      <c r="CF28" s="25"/>
      <c r="CG28" s="25"/>
      <c r="CH28" s="25"/>
      <c r="CI28" s="25"/>
      <c r="CJ28" s="25"/>
    </row>
    <row r="29" spans="2:88" ht="4.95" customHeight="1" x14ac:dyDescent="0.3">
      <c r="C29" s="4"/>
      <c r="F29" s="36"/>
      <c r="G29" s="36"/>
      <c r="K29" s="110"/>
      <c r="L29" s="110"/>
      <c r="M29" s="110"/>
      <c r="N29" s="10"/>
      <c r="O29" s="10"/>
      <c r="R29" s="110"/>
      <c r="S29" s="110"/>
      <c r="T29" s="110"/>
      <c r="U29" s="10"/>
      <c r="V29" s="10"/>
      <c r="Y29" s="110"/>
      <c r="Z29" s="110"/>
      <c r="AA29" s="110"/>
      <c r="AB29" s="10"/>
      <c r="AC29" s="10"/>
      <c r="AE29" s="111"/>
      <c r="AH29" s="111"/>
      <c r="AM29" s="21">
        <f t="shared" si="0"/>
        <v>0</v>
      </c>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5"/>
      <c r="BV29" s="25"/>
      <c r="BW29" s="25"/>
      <c r="BX29" s="25"/>
      <c r="BY29" s="25"/>
      <c r="BZ29" s="25"/>
      <c r="CA29" s="25"/>
      <c r="CB29" s="25"/>
      <c r="CC29" s="25"/>
      <c r="CD29" s="25"/>
      <c r="CE29" s="25"/>
      <c r="CF29" s="25"/>
      <c r="CG29" s="25"/>
      <c r="CH29" s="25"/>
      <c r="CI29" s="25"/>
      <c r="CJ29" s="25"/>
    </row>
    <row r="30" spans="2:88" ht="15" customHeight="1" x14ac:dyDescent="0.3">
      <c r="B30" s="227"/>
      <c r="C30" s="227"/>
      <c r="D30" s="227"/>
      <c r="F30" s="227"/>
      <c r="G30" s="227"/>
      <c r="H30" s="227"/>
      <c r="K30" s="228"/>
      <c r="L30" s="228"/>
      <c r="M30" s="228"/>
      <c r="N30" s="201" t="str">
        <f>IF($AQ$11=0,"Units?",IF($AQ$11=1,"ac",IF($AQ$11=2,"sq-ft","Error")))</f>
        <v>Units?</v>
      </c>
      <c r="O30" s="201"/>
      <c r="R30" s="228"/>
      <c r="S30" s="228"/>
      <c r="T30" s="228"/>
      <c r="U30" s="201" t="str">
        <f>IF($AQ$11=0,"Units?",IF($AQ$11=1,"ac",IF($AQ$11=2,"sq-ft","Error")))</f>
        <v>Units?</v>
      </c>
      <c r="V30" s="201"/>
      <c r="Y30" s="228"/>
      <c r="Z30" s="228"/>
      <c r="AA30" s="228"/>
      <c r="AB30" s="201" t="str">
        <f>IF($AQ$11=0,"Units?",IF($AQ$11=1,"ac",IF($AQ$11=2,"sq-ft","Error")))</f>
        <v>Units?</v>
      </c>
      <c r="AC30" s="201"/>
      <c r="AE30" s="56"/>
      <c r="AF30" s="27" t="s">
        <v>120</v>
      </c>
      <c r="AH30" s="56"/>
      <c r="AI30" s="27" t="s">
        <v>121</v>
      </c>
      <c r="AM30" s="93">
        <f>IF(ISBLANK(B30),1,2)</f>
        <v>1</v>
      </c>
      <c r="AN30" s="93">
        <f>IF(AND(ISBLANK(AE30),ISBLANK(AH30)),0,1)</f>
        <v>0</v>
      </c>
      <c r="AO30" s="93">
        <f>IF(AND(ISBLANK(AE30),LEN(AH30)&gt;0),2,1)</f>
        <v>1</v>
      </c>
      <c r="AP30" s="93">
        <f>IF(ISBLANK(AE30),1,IF(ISBLANK(AH30),2,3))</f>
        <v>1</v>
      </c>
      <c r="AR30" s="117">
        <v>5</v>
      </c>
      <c r="AS30" s="27" t="s">
        <v>551</v>
      </c>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5"/>
      <c r="BV30" s="25"/>
      <c r="BW30" s="25"/>
      <c r="BX30" s="25"/>
      <c r="BY30" s="25"/>
      <c r="BZ30" s="25"/>
      <c r="CA30" s="25"/>
      <c r="CB30" s="25"/>
      <c r="CC30" s="25"/>
      <c r="CD30" s="25"/>
      <c r="CE30" s="25"/>
      <c r="CF30" s="25"/>
      <c r="CG30" s="25"/>
      <c r="CH30" s="25"/>
      <c r="CI30" s="25"/>
      <c r="CJ30" s="25"/>
    </row>
    <row r="31" spans="2:88" ht="4.95" customHeight="1" x14ac:dyDescent="0.3">
      <c r="C31" s="4"/>
      <c r="F31" s="36"/>
      <c r="G31" s="36"/>
      <c r="K31" s="110"/>
      <c r="L31" s="110"/>
      <c r="M31" s="110"/>
      <c r="N31" s="10"/>
      <c r="O31" s="10"/>
      <c r="R31" s="110"/>
      <c r="S31" s="110"/>
      <c r="T31" s="110"/>
      <c r="U31" s="10"/>
      <c r="V31" s="10"/>
      <c r="Y31" s="110"/>
      <c r="Z31" s="110"/>
      <c r="AA31" s="110"/>
      <c r="AB31" s="10"/>
      <c r="AC31" s="10"/>
      <c r="AE31" s="111"/>
      <c r="AH31" s="111"/>
      <c r="AM31" s="21">
        <f t="shared" si="0"/>
        <v>0</v>
      </c>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5"/>
      <c r="BV31" s="25"/>
      <c r="BW31" s="25"/>
      <c r="BX31" s="25"/>
      <c r="BY31" s="25"/>
      <c r="BZ31" s="25"/>
      <c r="CA31" s="25"/>
      <c r="CB31" s="25"/>
      <c r="CC31" s="25"/>
      <c r="CD31" s="25"/>
      <c r="CE31" s="25"/>
      <c r="CF31" s="25"/>
      <c r="CG31" s="25"/>
      <c r="CH31" s="25"/>
      <c r="CI31" s="25"/>
      <c r="CJ31" s="25"/>
    </row>
    <row r="32" spans="2:88" ht="15" customHeight="1" x14ac:dyDescent="0.3">
      <c r="B32" s="227"/>
      <c r="C32" s="227"/>
      <c r="D32" s="227"/>
      <c r="F32" s="227"/>
      <c r="G32" s="227"/>
      <c r="H32" s="227"/>
      <c r="K32" s="228"/>
      <c r="L32" s="228"/>
      <c r="M32" s="228"/>
      <c r="N32" s="201" t="str">
        <f>IF($AQ$11=0,"Units?",IF($AQ$11=1,"ac",IF($AQ$11=2,"sq-ft","Error")))</f>
        <v>Units?</v>
      </c>
      <c r="O32" s="201"/>
      <c r="R32" s="228"/>
      <c r="S32" s="228"/>
      <c r="T32" s="228"/>
      <c r="U32" s="201" t="str">
        <f>IF($AQ$11=0,"Units?",IF($AQ$11=1,"ac",IF($AQ$11=2,"sq-ft","Error")))</f>
        <v>Units?</v>
      </c>
      <c r="V32" s="201"/>
      <c r="Y32" s="228"/>
      <c r="Z32" s="228"/>
      <c r="AA32" s="228"/>
      <c r="AB32" s="201" t="str">
        <f>IF($AQ$11=0,"Units?",IF($AQ$11=1,"ac",IF($AQ$11=2,"sq-ft","Error")))</f>
        <v>Units?</v>
      </c>
      <c r="AC32" s="201"/>
      <c r="AE32" s="56"/>
      <c r="AF32" s="27" t="s">
        <v>120</v>
      </c>
      <c r="AH32" s="56"/>
      <c r="AI32" s="27" t="s">
        <v>121</v>
      </c>
      <c r="AM32" s="93">
        <f>IF(ISBLANK(B32),1,2)</f>
        <v>1</v>
      </c>
      <c r="AN32" s="93">
        <f>IF(AND(ISBLANK(AE32),ISBLANK(AH32)),0,1)</f>
        <v>0</v>
      </c>
      <c r="AO32" s="93">
        <f>IF(AND(ISBLANK(AE32),LEN(AH32)&gt;0),2,1)</f>
        <v>1</v>
      </c>
      <c r="AP32" s="93">
        <f>IF(ISBLANK(AE32),1,IF(ISBLANK(AH32),2,3))</f>
        <v>1</v>
      </c>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5"/>
      <c r="BV32" s="25"/>
      <c r="BW32" s="25"/>
      <c r="BX32" s="25"/>
      <c r="BY32" s="25"/>
      <c r="BZ32" s="25"/>
      <c r="CA32" s="25"/>
      <c r="CB32" s="25"/>
      <c r="CC32" s="25"/>
      <c r="CD32" s="25"/>
      <c r="CE32" s="25"/>
      <c r="CF32" s="25"/>
      <c r="CG32" s="25"/>
      <c r="CH32" s="25"/>
      <c r="CI32" s="25"/>
      <c r="CJ32" s="25"/>
    </row>
    <row r="33" spans="2:88" ht="4.95" customHeight="1" x14ac:dyDescent="0.3">
      <c r="C33" s="4"/>
      <c r="F33" s="36"/>
      <c r="G33" s="36"/>
      <c r="K33" s="110"/>
      <c r="L33" s="110"/>
      <c r="M33" s="110"/>
      <c r="N33" s="10"/>
      <c r="O33" s="10"/>
      <c r="R33" s="110"/>
      <c r="S33" s="110"/>
      <c r="T33" s="110"/>
      <c r="U33" s="10"/>
      <c r="V33" s="10"/>
      <c r="Y33" s="110"/>
      <c r="Z33" s="110"/>
      <c r="AA33" s="110"/>
      <c r="AB33" s="10"/>
      <c r="AC33" s="10"/>
      <c r="AE33" s="111"/>
      <c r="AH33" s="111"/>
      <c r="AM33" s="21">
        <f t="shared" si="0"/>
        <v>0</v>
      </c>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5"/>
      <c r="BV33" s="25"/>
      <c r="BW33" s="25"/>
      <c r="BX33" s="25"/>
      <c r="BY33" s="25"/>
      <c r="BZ33" s="25"/>
      <c r="CA33" s="25"/>
      <c r="CB33" s="25"/>
      <c r="CC33" s="25"/>
      <c r="CD33" s="25"/>
      <c r="CE33" s="25"/>
      <c r="CF33" s="25"/>
      <c r="CG33" s="25"/>
      <c r="CH33" s="25"/>
      <c r="CI33" s="25"/>
      <c r="CJ33" s="25"/>
    </row>
    <row r="34" spans="2:88" ht="15" customHeight="1" x14ac:dyDescent="0.3">
      <c r="B34" s="227"/>
      <c r="C34" s="227"/>
      <c r="D34" s="227"/>
      <c r="F34" s="227"/>
      <c r="G34" s="227"/>
      <c r="H34" s="227"/>
      <c r="K34" s="228"/>
      <c r="L34" s="228"/>
      <c r="M34" s="228"/>
      <c r="N34" s="201" t="str">
        <f>IF($AQ$11=0,"Units?",IF($AQ$11=1,"ac",IF($AQ$11=2,"sq-ft","Error")))</f>
        <v>Units?</v>
      </c>
      <c r="O34" s="201"/>
      <c r="R34" s="228"/>
      <c r="S34" s="228"/>
      <c r="T34" s="228"/>
      <c r="U34" s="201" t="str">
        <f>IF($AQ$11=0,"Units?",IF($AQ$11=1,"ac",IF($AQ$11=2,"sq-ft","Error")))</f>
        <v>Units?</v>
      </c>
      <c r="V34" s="201"/>
      <c r="Y34" s="228"/>
      <c r="Z34" s="228"/>
      <c r="AA34" s="228"/>
      <c r="AB34" s="201" t="str">
        <f>IF($AQ$11=0,"Units?",IF($AQ$11=1,"ac",IF($AQ$11=2,"sq-ft","Error")))</f>
        <v>Units?</v>
      </c>
      <c r="AC34" s="201"/>
      <c r="AE34" s="56"/>
      <c r="AF34" s="27" t="s">
        <v>120</v>
      </c>
      <c r="AH34" s="56"/>
      <c r="AI34" s="27" t="s">
        <v>121</v>
      </c>
      <c r="AM34" s="93">
        <f>IF(ISBLANK(B34),1,2)</f>
        <v>1</v>
      </c>
      <c r="AN34" s="93">
        <f>IF(AND(ISBLANK(AE34),ISBLANK(AH34)),0,1)</f>
        <v>0</v>
      </c>
      <c r="AO34" s="93">
        <f>IF(AND(ISBLANK(AE34),LEN(AH34)&gt;0),2,1)</f>
        <v>1</v>
      </c>
      <c r="AP34" s="93">
        <f>IF(ISBLANK(AE34),1,IF(ISBLANK(AH34),2,3))</f>
        <v>1</v>
      </c>
      <c r="AR34" s="25"/>
      <c r="AS34" s="22"/>
      <c r="AT34" s="64"/>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5"/>
      <c r="BV34" s="25"/>
      <c r="BW34" s="25"/>
      <c r="BX34" s="25"/>
      <c r="BY34" s="25"/>
      <c r="BZ34" s="25"/>
      <c r="CA34" s="25"/>
      <c r="CB34" s="25"/>
      <c r="CC34" s="25"/>
      <c r="CD34" s="25"/>
      <c r="CE34" s="25"/>
      <c r="CF34" s="25"/>
      <c r="CG34" s="25"/>
      <c r="CH34" s="25"/>
      <c r="CI34" s="25"/>
      <c r="CJ34" s="25"/>
    </row>
    <row r="35" spans="2:88" ht="4.95" customHeight="1" x14ac:dyDescent="0.3">
      <c r="C35" s="4"/>
      <c r="F35" s="36"/>
      <c r="G35" s="36"/>
      <c r="K35" s="110"/>
      <c r="L35" s="110"/>
      <c r="M35" s="110"/>
      <c r="N35" s="10"/>
      <c r="O35" s="10"/>
      <c r="R35" s="110"/>
      <c r="S35" s="110"/>
      <c r="T35" s="110"/>
      <c r="U35" s="10"/>
      <c r="V35" s="10"/>
      <c r="Y35" s="110"/>
      <c r="Z35" s="110"/>
      <c r="AA35" s="110"/>
      <c r="AB35" s="10"/>
      <c r="AC35" s="10"/>
      <c r="AE35" s="111"/>
      <c r="AH35" s="111"/>
      <c r="AM35" s="21">
        <f t="shared" si="0"/>
        <v>0</v>
      </c>
      <c r="AR35" s="25"/>
      <c r="AS35" s="22"/>
      <c r="AT35" s="64"/>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5"/>
      <c r="BV35" s="25"/>
      <c r="BW35" s="25"/>
      <c r="BX35" s="25"/>
      <c r="BY35" s="25"/>
      <c r="BZ35" s="25"/>
      <c r="CA35" s="25"/>
      <c r="CB35" s="25"/>
      <c r="CC35" s="25"/>
      <c r="CD35" s="25"/>
      <c r="CE35" s="25"/>
      <c r="CF35" s="25"/>
      <c r="CG35" s="25"/>
      <c r="CH35" s="25"/>
      <c r="CI35" s="25"/>
      <c r="CJ35" s="25"/>
    </row>
    <row r="36" spans="2:88" ht="15" customHeight="1" x14ac:dyDescent="0.3">
      <c r="B36" s="227"/>
      <c r="C36" s="227"/>
      <c r="D36" s="227"/>
      <c r="F36" s="227"/>
      <c r="G36" s="227"/>
      <c r="H36" s="227"/>
      <c r="K36" s="228"/>
      <c r="L36" s="228"/>
      <c r="M36" s="228"/>
      <c r="N36" s="201" t="str">
        <f>IF($AQ$11=0,"Units?",IF($AQ$11=1,"ac",IF($AQ$11=2,"sq-ft","Error")))</f>
        <v>Units?</v>
      </c>
      <c r="O36" s="201"/>
      <c r="R36" s="228"/>
      <c r="S36" s="228"/>
      <c r="T36" s="228"/>
      <c r="U36" s="201" t="str">
        <f>IF($AQ$11=0,"Units?",IF($AQ$11=1,"ac",IF($AQ$11=2,"sq-ft","Error")))</f>
        <v>Units?</v>
      </c>
      <c r="V36" s="201"/>
      <c r="Y36" s="228"/>
      <c r="Z36" s="228"/>
      <c r="AA36" s="228"/>
      <c r="AB36" s="201" t="str">
        <f>IF($AQ$11=0,"Units?",IF($AQ$11=1,"ac",IF($AQ$11=2,"sq-ft","Error")))</f>
        <v>Units?</v>
      </c>
      <c r="AC36" s="201"/>
      <c r="AE36" s="56"/>
      <c r="AF36" s="27" t="s">
        <v>120</v>
      </c>
      <c r="AH36" s="56"/>
      <c r="AI36" s="27" t="s">
        <v>121</v>
      </c>
      <c r="AM36" s="93">
        <f>IF(ISBLANK(B36),1,2)</f>
        <v>1</v>
      </c>
      <c r="AN36" s="93">
        <f>IF(AND(ISBLANK(AE36),ISBLANK(AH36)),0,1)</f>
        <v>0</v>
      </c>
      <c r="AO36" s="93">
        <f>IF(AND(ISBLANK(AE36),LEN(AH36)&gt;0),2,1)</f>
        <v>1</v>
      </c>
      <c r="AP36" s="93">
        <f>IF(ISBLANK(AE36),1,IF(ISBLANK(AH36),2,3))</f>
        <v>1</v>
      </c>
      <c r="AR36" s="22"/>
      <c r="AS36" s="109"/>
      <c r="AT36" s="64"/>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5"/>
      <c r="BV36" s="25"/>
      <c r="BW36" s="25"/>
      <c r="BX36" s="25"/>
      <c r="BY36" s="25"/>
      <c r="BZ36" s="25"/>
      <c r="CA36" s="25"/>
      <c r="CB36" s="25"/>
      <c r="CC36" s="25"/>
      <c r="CD36" s="25"/>
      <c r="CE36" s="25"/>
      <c r="CF36" s="25"/>
      <c r="CG36" s="25"/>
      <c r="CH36" s="25"/>
      <c r="CI36" s="25"/>
      <c r="CJ36" s="25"/>
    </row>
    <row r="37" spans="2:88" ht="4.95" customHeight="1" x14ac:dyDescent="0.3">
      <c r="C37" s="4"/>
      <c r="F37" s="36"/>
      <c r="G37" s="36"/>
      <c r="K37" s="110"/>
      <c r="L37" s="110"/>
      <c r="M37" s="110"/>
      <c r="N37" s="10"/>
      <c r="O37" s="10"/>
      <c r="R37" s="110"/>
      <c r="S37" s="110"/>
      <c r="T37" s="110"/>
      <c r="U37" s="10"/>
      <c r="V37" s="10"/>
      <c r="Y37" s="110"/>
      <c r="Z37" s="110"/>
      <c r="AA37" s="110"/>
      <c r="AB37" s="10"/>
      <c r="AC37" s="10"/>
      <c r="AE37" s="111"/>
      <c r="AH37" s="111"/>
      <c r="AM37" s="21">
        <f t="shared" si="0"/>
        <v>0</v>
      </c>
      <c r="AR37" s="22"/>
      <c r="AS37" s="109"/>
      <c r="AT37" s="64"/>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5"/>
      <c r="BV37" s="25"/>
      <c r="BW37" s="25"/>
      <c r="BX37" s="25"/>
      <c r="BY37" s="25"/>
      <c r="BZ37" s="25"/>
      <c r="CA37" s="25"/>
      <c r="CB37" s="25"/>
      <c r="CC37" s="25"/>
      <c r="CD37" s="25"/>
      <c r="CE37" s="25"/>
      <c r="CF37" s="25"/>
      <c r="CG37" s="25"/>
      <c r="CH37" s="25"/>
      <c r="CI37" s="25"/>
      <c r="CJ37" s="25"/>
    </row>
    <row r="38" spans="2:88" ht="15" customHeight="1" x14ac:dyDescent="0.3">
      <c r="B38" s="227"/>
      <c r="C38" s="227"/>
      <c r="D38" s="227"/>
      <c r="F38" s="227"/>
      <c r="G38" s="227"/>
      <c r="H38" s="227"/>
      <c r="K38" s="228"/>
      <c r="L38" s="228"/>
      <c r="M38" s="228"/>
      <c r="N38" s="201" t="str">
        <f>IF($AQ$11=0,"Units?",IF($AQ$11=1,"ac",IF($AQ$11=2,"sq-ft","Error")))</f>
        <v>Units?</v>
      </c>
      <c r="O38" s="201"/>
      <c r="R38" s="228"/>
      <c r="S38" s="228"/>
      <c r="T38" s="228"/>
      <c r="U38" s="201" t="str">
        <f>IF($AQ$11=0,"Units?",IF($AQ$11=1,"ac",IF($AQ$11=2,"sq-ft","Error")))</f>
        <v>Units?</v>
      </c>
      <c r="V38" s="201"/>
      <c r="Y38" s="228"/>
      <c r="Z38" s="228"/>
      <c r="AA38" s="228"/>
      <c r="AB38" s="201" t="str">
        <f>IF($AQ$11=0,"Units?",IF($AQ$11=1,"ac",IF($AQ$11=2,"sq-ft","Error")))</f>
        <v>Units?</v>
      </c>
      <c r="AC38" s="201"/>
      <c r="AE38" s="56"/>
      <c r="AF38" s="27" t="s">
        <v>120</v>
      </c>
      <c r="AH38" s="56"/>
      <c r="AI38" s="27" t="s">
        <v>121</v>
      </c>
      <c r="AM38" s="93">
        <f>IF(ISBLANK(B38),1,2)</f>
        <v>1</v>
      </c>
      <c r="AN38" s="93">
        <f>IF(AND(ISBLANK(AE38),ISBLANK(AH38)),0,1)</f>
        <v>0</v>
      </c>
      <c r="AO38" s="93">
        <f>IF(AND(ISBLANK(AE38),LEN(AH38)&gt;0),2,1)</f>
        <v>1</v>
      </c>
      <c r="AP38" s="93">
        <f>IF(ISBLANK(AE38),1,IF(ISBLANK(AH38),2,3))</f>
        <v>1</v>
      </c>
      <c r="AR38" s="25"/>
      <c r="AS38" s="22"/>
      <c r="AT38" s="64"/>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5"/>
      <c r="BV38" s="25"/>
      <c r="BW38" s="25"/>
      <c r="BX38" s="25"/>
      <c r="BY38" s="25"/>
      <c r="BZ38" s="25"/>
      <c r="CA38" s="25"/>
      <c r="CB38" s="25"/>
      <c r="CC38" s="25"/>
      <c r="CD38" s="25"/>
      <c r="CE38" s="25"/>
      <c r="CF38" s="25"/>
      <c r="CG38" s="25"/>
      <c r="CH38" s="25"/>
      <c r="CI38" s="25"/>
      <c r="CJ38" s="25"/>
    </row>
    <row r="39" spans="2:88" ht="4.95" customHeight="1" x14ac:dyDescent="0.3">
      <c r="C39" s="4"/>
      <c r="F39" s="36"/>
      <c r="G39" s="36"/>
      <c r="K39" s="110"/>
      <c r="L39" s="110"/>
      <c r="M39" s="110"/>
      <c r="N39" s="10"/>
      <c r="O39" s="10"/>
      <c r="R39" s="110"/>
      <c r="S39" s="110"/>
      <c r="T39" s="110"/>
      <c r="U39" s="10"/>
      <c r="V39" s="10"/>
      <c r="Y39" s="110"/>
      <c r="Z39" s="110"/>
      <c r="AA39" s="110"/>
      <c r="AB39" s="10"/>
      <c r="AC39" s="10"/>
      <c r="AE39" s="111"/>
      <c r="AH39" s="111"/>
      <c r="AM39" s="21">
        <f t="shared" si="0"/>
        <v>0</v>
      </c>
      <c r="AR39" s="25"/>
      <c r="AS39" s="22"/>
      <c r="AT39" s="64"/>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5"/>
      <c r="BV39" s="25"/>
      <c r="BW39" s="25"/>
      <c r="BX39" s="25"/>
      <c r="BY39" s="25"/>
      <c r="BZ39" s="25"/>
      <c r="CA39" s="25"/>
      <c r="CB39" s="25"/>
      <c r="CC39" s="25"/>
      <c r="CD39" s="25"/>
      <c r="CE39" s="25"/>
      <c r="CF39" s="25"/>
      <c r="CG39" s="25"/>
      <c r="CH39" s="25"/>
      <c r="CI39" s="25"/>
      <c r="CJ39" s="25"/>
    </row>
    <row r="40" spans="2:88" ht="15" customHeight="1" x14ac:dyDescent="0.3">
      <c r="B40" s="227"/>
      <c r="C40" s="227"/>
      <c r="D40" s="227"/>
      <c r="F40" s="227"/>
      <c r="G40" s="227"/>
      <c r="H40" s="227"/>
      <c r="K40" s="228"/>
      <c r="L40" s="228"/>
      <c r="M40" s="228"/>
      <c r="N40" s="201" t="str">
        <f>IF($AQ$11=0,"Units?",IF($AQ$11=1,"ac",IF($AQ$11=2,"sq-ft","Error")))</f>
        <v>Units?</v>
      </c>
      <c r="O40" s="201"/>
      <c r="R40" s="228"/>
      <c r="S40" s="228"/>
      <c r="T40" s="228"/>
      <c r="U40" s="201" t="str">
        <f>IF($AQ$11=0,"Units?",IF($AQ$11=1,"ac",IF($AQ$11=2,"sq-ft","Error")))</f>
        <v>Units?</v>
      </c>
      <c r="V40" s="201"/>
      <c r="Y40" s="228"/>
      <c r="Z40" s="228"/>
      <c r="AA40" s="228"/>
      <c r="AB40" s="201" t="str">
        <f>IF($AQ$11=0,"Units?",IF($AQ$11=1,"ac",IF($AQ$11=2,"sq-ft","Error")))</f>
        <v>Units?</v>
      </c>
      <c r="AC40" s="201"/>
      <c r="AE40" s="56"/>
      <c r="AF40" s="27" t="s">
        <v>120</v>
      </c>
      <c r="AH40" s="56"/>
      <c r="AI40" s="27" t="s">
        <v>121</v>
      </c>
      <c r="AM40" s="93">
        <f>IF(ISBLANK(B40),1,2)</f>
        <v>1</v>
      </c>
      <c r="AN40" s="93">
        <f>IF(AND(ISBLANK(AE40),ISBLANK(AH40)),0,1)</f>
        <v>0</v>
      </c>
      <c r="AO40" s="93">
        <f>IF(AND(ISBLANK(AE40),LEN(AH40)&gt;0),2,1)</f>
        <v>1</v>
      </c>
      <c r="AP40" s="93">
        <f>IF(ISBLANK(AE40),1,IF(ISBLANK(AH40),2,3))</f>
        <v>1</v>
      </c>
      <c r="AR40" s="25"/>
      <c r="AS40" s="22"/>
      <c r="AT40" s="64"/>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5"/>
      <c r="BV40" s="25"/>
      <c r="BW40" s="25"/>
      <c r="BX40" s="25"/>
      <c r="BY40" s="25"/>
      <c r="BZ40" s="25"/>
      <c r="CA40" s="25"/>
      <c r="CB40" s="25"/>
      <c r="CC40" s="25"/>
      <c r="CD40" s="25"/>
      <c r="CE40" s="25"/>
      <c r="CF40" s="25"/>
      <c r="CG40" s="25"/>
      <c r="CH40" s="25"/>
      <c r="CI40" s="25"/>
      <c r="CJ40" s="25"/>
    </row>
    <row r="41" spans="2:88" ht="4.95" customHeight="1" x14ac:dyDescent="0.3">
      <c r="C41" s="4"/>
      <c r="F41" s="36"/>
      <c r="G41" s="36"/>
      <c r="K41" s="110"/>
      <c r="L41" s="110"/>
      <c r="M41" s="110"/>
      <c r="N41" s="10"/>
      <c r="O41" s="10"/>
      <c r="R41" s="110"/>
      <c r="S41" s="110"/>
      <c r="T41" s="110"/>
      <c r="U41" s="10"/>
      <c r="V41" s="10"/>
      <c r="Y41" s="110"/>
      <c r="Z41" s="110"/>
      <c r="AA41" s="110"/>
      <c r="AB41" s="10"/>
      <c r="AC41" s="10"/>
      <c r="AE41" s="111"/>
      <c r="AH41" s="111"/>
      <c r="AM41" s="21">
        <f t="shared" si="0"/>
        <v>0</v>
      </c>
      <c r="AR41" s="25"/>
      <c r="AS41" s="22"/>
      <c r="AT41" s="64"/>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5"/>
      <c r="BV41" s="25"/>
      <c r="BW41" s="25"/>
      <c r="BX41" s="25"/>
      <c r="BY41" s="25"/>
      <c r="BZ41" s="25"/>
      <c r="CA41" s="25"/>
      <c r="CB41" s="25"/>
      <c r="CC41" s="25"/>
      <c r="CD41" s="25"/>
      <c r="CE41" s="25"/>
      <c r="CF41" s="25"/>
      <c r="CG41" s="25"/>
      <c r="CH41" s="25"/>
      <c r="CI41" s="25"/>
      <c r="CJ41" s="25"/>
    </row>
    <row r="42" spans="2:88" ht="15" customHeight="1" x14ac:dyDescent="0.3">
      <c r="B42" s="227"/>
      <c r="C42" s="227"/>
      <c r="D42" s="227"/>
      <c r="F42" s="227"/>
      <c r="G42" s="227"/>
      <c r="H42" s="227"/>
      <c r="K42" s="228"/>
      <c r="L42" s="228"/>
      <c r="M42" s="228"/>
      <c r="N42" s="201" t="str">
        <f>IF($AQ$11=0,"Units?",IF($AQ$11=1,"ac",IF($AQ$11=2,"sq-ft","Error")))</f>
        <v>Units?</v>
      </c>
      <c r="O42" s="201"/>
      <c r="R42" s="228"/>
      <c r="S42" s="228"/>
      <c r="T42" s="228"/>
      <c r="U42" s="201" t="str">
        <f>IF($AQ$11=0,"Units?",IF($AQ$11=1,"ac",IF($AQ$11=2,"sq-ft","Error")))</f>
        <v>Units?</v>
      </c>
      <c r="V42" s="201"/>
      <c r="Y42" s="228"/>
      <c r="Z42" s="228"/>
      <c r="AA42" s="228"/>
      <c r="AB42" s="201" t="str">
        <f>IF($AQ$11=0,"Units?",IF($AQ$11=1,"ac",IF($AQ$11=2,"sq-ft","Error")))</f>
        <v>Units?</v>
      </c>
      <c r="AC42" s="201"/>
      <c r="AE42" s="56"/>
      <c r="AF42" s="27" t="s">
        <v>120</v>
      </c>
      <c r="AH42" s="56"/>
      <c r="AI42" s="27" t="s">
        <v>121</v>
      </c>
      <c r="AM42" s="93">
        <f>IF(ISBLANK(B42),1,2)</f>
        <v>1</v>
      </c>
      <c r="AN42" s="93">
        <f>IF(AND(ISBLANK(AE42),ISBLANK(AH42)),0,1)</f>
        <v>0</v>
      </c>
      <c r="AO42" s="93">
        <f>IF(AND(ISBLANK(AE42),LEN(AH42)&gt;0),2,1)</f>
        <v>1</v>
      </c>
      <c r="AP42" s="93">
        <f>IF(ISBLANK(AE42),1,IF(ISBLANK(AH42),2,3))</f>
        <v>1</v>
      </c>
      <c r="AR42" s="25"/>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5"/>
      <c r="BV42" s="25"/>
      <c r="BW42" s="25"/>
      <c r="BX42" s="25"/>
      <c r="BY42" s="25"/>
      <c r="BZ42" s="25"/>
      <c r="CA42" s="25"/>
      <c r="CB42" s="25"/>
      <c r="CC42" s="25"/>
      <c r="CD42" s="25"/>
      <c r="CE42" s="25"/>
      <c r="CF42" s="25"/>
      <c r="CG42" s="25"/>
      <c r="CH42" s="25"/>
      <c r="CI42" s="25"/>
      <c r="CJ42" s="25"/>
    </row>
    <row r="43" spans="2:88" ht="4.95" customHeight="1" x14ac:dyDescent="0.3">
      <c r="C43" s="4"/>
      <c r="F43" s="36"/>
      <c r="G43" s="36"/>
      <c r="K43" s="110"/>
      <c r="L43" s="110"/>
      <c r="M43" s="110"/>
      <c r="N43" s="10"/>
      <c r="O43" s="10"/>
      <c r="R43" s="110"/>
      <c r="S43" s="110"/>
      <c r="T43" s="110"/>
      <c r="U43" s="10"/>
      <c r="V43" s="10"/>
      <c r="Y43" s="110"/>
      <c r="Z43" s="110"/>
      <c r="AA43" s="110"/>
      <c r="AB43" s="10"/>
      <c r="AC43" s="10"/>
      <c r="AE43" s="111"/>
      <c r="AH43" s="111"/>
      <c r="AM43" s="21">
        <f t="shared" si="0"/>
        <v>0</v>
      </c>
      <c r="AR43" s="25"/>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5"/>
      <c r="BV43" s="25"/>
      <c r="BW43" s="25"/>
      <c r="BX43" s="25"/>
      <c r="BY43" s="25"/>
      <c r="BZ43" s="25"/>
      <c r="CA43" s="25"/>
      <c r="CB43" s="25"/>
      <c r="CC43" s="25"/>
      <c r="CD43" s="25"/>
      <c r="CE43" s="25"/>
      <c r="CF43" s="25"/>
      <c r="CG43" s="25"/>
      <c r="CH43" s="25"/>
      <c r="CI43" s="25"/>
      <c r="CJ43" s="25"/>
    </row>
    <row r="44" spans="2:88" ht="15" customHeight="1" x14ac:dyDescent="0.3">
      <c r="B44" s="227"/>
      <c r="C44" s="227"/>
      <c r="D44" s="227"/>
      <c r="F44" s="227"/>
      <c r="G44" s="227"/>
      <c r="H44" s="227"/>
      <c r="K44" s="228"/>
      <c r="L44" s="228"/>
      <c r="M44" s="228"/>
      <c r="N44" s="201" t="str">
        <f>IF($AQ$11=0,"Units?",IF($AQ$11=1,"ac",IF($AQ$11=2,"sq-ft","Error")))</f>
        <v>Units?</v>
      </c>
      <c r="O44" s="201"/>
      <c r="R44" s="228"/>
      <c r="S44" s="228"/>
      <c r="T44" s="228"/>
      <c r="U44" s="201" t="str">
        <f>IF($AQ$11=0,"Units?",IF($AQ$11=1,"ac",IF($AQ$11=2,"sq-ft","Error")))</f>
        <v>Units?</v>
      </c>
      <c r="V44" s="201"/>
      <c r="Y44" s="228"/>
      <c r="Z44" s="228"/>
      <c r="AA44" s="228"/>
      <c r="AB44" s="201" t="str">
        <f>IF($AQ$11=0,"Units?",IF($AQ$11=1,"ac",IF($AQ$11=2,"sq-ft","Error")))</f>
        <v>Units?</v>
      </c>
      <c r="AC44" s="201"/>
      <c r="AE44" s="56"/>
      <c r="AF44" s="27" t="s">
        <v>120</v>
      </c>
      <c r="AH44" s="56"/>
      <c r="AI44" s="27" t="s">
        <v>121</v>
      </c>
      <c r="AM44" s="93">
        <f>IF(ISBLANK(B44),1,2)</f>
        <v>1</v>
      </c>
      <c r="AN44" s="93">
        <f>IF(AND(ISBLANK(AE44),ISBLANK(AH44)),0,1)</f>
        <v>0</v>
      </c>
      <c r="AO44" s="93">
        <f>IF(AND(ISBLANK(AE44),LEN(AH44)&gt;0),2,1)</f>
        <v>1</v>
      </c>
      <c r="AP44" s="93">
        <f>IF(ISBLANK(AE44),1,IF(ISBLANK(AH44),2,3))</f>
        <v>1</v>
      </c>
      <c r="AR44" s="25"/>
      <c r="AS44" s="22"/>
      <c r="AT44" s="64"/>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5"/>
      <c r="BV44" s="25"/>
      <c r="BW44" s="25"/>
      <c r="BX44" s="25"/>
      <c r="BY44" s="25"/>
      <c r="BZ44" s="25"/>
      <c r="CA44" s="25"/>
      <c r="CB44" s="25"/>
      <c r="CC44" s="25"/>
      <c r="CD44" s="25"/>
      <c r="CE44" s="25"/>
      <c r="CF44" s="25"/>
      <c r="CG44" s="25"/>
      <c r="CH44" s="25"/>
      <c r="CI44" s="25"/>
      <c r="CJ44" s="25"/>
    </row>
    <row r="45" spans="2:88" ht="4.95" customHeight="1" x14ac:dyDescent="0.3">
      <c r="C45" s="4"/>
      <c r="F45" s="36"/>
      <c r="G45" s="36"/>
      <c r="K45" s="110"/>
      <c r="L45" s="110"/>
      <c r="M45" s="110"/>
      <c r="N45" s="10"/>
      <c r="O45" s="10"/>
      <c r="R45" s="110"/>
      <c r="S45" s="110"/>
      <c r="T45" s="110"/>
      <c r="U45" s="10"/>
      <c r="V45" s="10"/>
      <c r="Y45" s="110"/>
      <c r="Z45" s="110"/>
      <c r="AA45" s="110"/>
      <c r="AB45" s="10"/>
      <c r="AC45" s="10"/>
      <c r="AE45" s="111"/>
      <c r="AH45" s="111"/>
      <c r="AM45" s="21">
        <f t="shared" si="0"/>
        <v>0</v>
      </c>
      <c r="AR45" s="25"/>
      <c r="AS45" s="22"/>
      <c r="AT45" s="64"/>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5"/>
      <c r="BV45" s="25"/>
      <c r="BW45" s="25"/>
      <c r="BX45" s="25"/>
      <c r="BY45" s="25"/>
      <c r="BZ45" s="25"/>
      <c r="CA45" s="25"/>
      <c r="CB45" s="25"/>
      <c r="CC45" s="25"/>
      <c r="CD45" s="25"/>
      <c r="CE45" s="25"/>
      <c r="CF45" s="25"/>
      <c r="CG45" s="25"/>
      <c r="CH45" s="25"/>
      <c r="CI45" s="25"/>
      <c r="CJ45" s="25"/>
    </row>
    <row r="46" spans="2:88" ht="15" customHeight="1" x14ac:dyDescent="0.3">
      <c r="B46" s="227"/>
      <c r="C46" s="227"/>
      <c r="D46" s="227"/>
      <c r="F46" s="227"/>
      <c r="G46" s="227"/>
      <c r="H46" s="227"/>
      <c r="K46" s="228"/>
      <c r="L46" s="228"/>
      <c r="M46" s="228"/>
      <c r="N46" s="201" t="str">
        <f>IF($AQ$11=0,"Units?",IF($AQ$11=1,"ac",IF($AQ$11=2,"sq-ft","Error")))</f>
        <v>Units?</v>
      </c>
      <c r="O46" s="201"/>
      <c r="R46" s="228"/>
      <c r="S46" s="228"/>
      <c r="T46" s="228"/>
      <c r="U46" s="201" t="str">
        <f>IF($AQ$11=0,"Units?",IF($AQ$11=1,"ac",IF($AQ$11=2,"sq-ft","Error")))</f>
        <v>Units?</v>
      </c>
      <c r="V46" s="201"/>
      <c r="Y46" s="228"/>
      <c r="Z46" s="228"/>
      <c r="AA46" s="228"/>
      <c r="AB46" s="201" t="str">
        <f>IF($AQ$11=0,"Units?",IF($AQ$11=1,"ac",IF($AQ$11=2,"sq-ft","Error")))</f>
        <v>Units?</v>
      </c>
      <c r="AC46" s="201"/>
      <c r="AE46" s="56"/>
      <c r="AF46" s="27" t="s">
        <v>120</v>
      </c>
      <c r="AH46" s="56"/>
      <c r="AI46" s="27" t="s">
        <v>121</v>
      </c>
      <c r="AM46" s="93">
        <f>IF(ISBLANK(B46),1,2)</f>
        <v>1</v>
      </c>
      <c r="AN46" s="93">
        <f>IF(AND(ISBLANK(AE46),ISBLANK(AH46)),0,1)</f>
        <v>0</v>
      </c>
      <c r="AO46" s="93">
        <f>IF(AND(ISBLANK(AE46),LEN(AH46)&gt;0),2,1)</f>
        <v>1</v>
      </c>
      <c r="AP46" s="93">
        <f>IF(ISBLANK(AE46),1,IF(ISBLANK(AH46),2,3))</f>
        <v>1</v>
      </c>
      <c r="AR46" s="25"/>
      <c r="AS46" s="22"/>
      <c r="AT46" s="64"/>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5"/>
      <c r="BV46" s="25"/>
      <c r="BW46" s="25"/>
      <c r="BX46" s="25"/>
      <c r="BY46" s="25"/>
      <c r="BZ46" s="25"/>
      <c r="CA46" s="25"/>
      <c r="CB46" s="25"/>
      <c r="CC46" s="25"/>
      <c r="CD46" s="25"/>
      <c r="CE46" s="25"/>
      <c r="CF46" s="25"/>
      <c r="CG46" s="25"/>
      <c r="CH46" s="25"/>
      <c r="CI46" s="25"/>
      <c r="CJ46" s="25"/>
    </row>
    <row r="47" spans="2:88" ht="4.95" customHeight="1" x14ac:dyDescent="0.3">
      <c r="C47" s="4"/>
      <c r="F47" s="36"/>
      <c r="G47" s="36"/>
      <c r="K47" s="110"/>
      <c r="L47" s="110"/>
      <c r="M47" s="110"/>
      <c r="N47" s="10"/>
      <c r="O47" s="10"/>
      <c r="R47" s="110"/>
      <c r="S47" s="110"/>
      <c r="T47" s="110"/>
      <c r="U47" s="10"/>
      <c r="V47" s="10"/>
      <c r="Y47" s="110"/>
      <c r="Z47" s="110"/>
      <c r="AA47" s="110"/>
      <c r="AB47" s="10"/>
      <c r="AC47" s="10"/>
      <c r="AE47" s="111"/>
      <c r="AH47" s="111"/>
      <c r="AM47" s="21">
        <f t="shared" si="0"/>
        <v>0</v>
      </c>
      <c r="AR47" s="25"/>
      <c r="AS47" s="22"/>
      <c r="AT47" s="64"/>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5"/>
      <c r="BV47" s="25"/>
      <c r="BW47" s="25"/>
      <c r="BX47" s="25"/>
      <c r="BY47" s="25"/>
      <c r="BZ47" s="25"/>
      <c r="CA47" s="25"/>
      <c r="CB47" s="25"/>
      <c r="CC47" s="25"/>
      <c r="CD47" s="25"/>
      <c r="CE47" s="25"/>
      <c r="CF47" s="25"/>
      <c r="CG47" s="25"/>
      <c r="CH47" s="25"/>
      <c r="CI47" s="25"/>
      <c r="CJ47" s="25"/>
    </row>
    <row r="48" spans="2:88" ht="15" customHeight="1" x14ac:dyDescent="0.3">
      <c r="B48" s="227"/>
      <c r="C48" s="227"/>
      <c r="D48" s="227"/>
      <c r="F48" s="227"/>
      <c r="G48" s="227"/>
      <c r="H48" s="227"/>
      <c r="K48" s="228"/>
      <c r="L48" s="228"/>
      <c r="M48" s="228"/>
      <c r="N48" s="201" t="str">
        <f>IF($AQ$11=0,"Units?",IF($AQ$11=1,"ac",IF($AQ$11=2,"sq-ft","Error")))</f>
        <v>Units?</v>
      </c>
      <c r="O48" s="201"/>
      <c r="R48" s="228"/>
      <c r="S48" s="228"/>
      <c r="T48" s="228"/>
      <c r="U48" s="201" t="str">
        <f>IF($AQ$11=0,"Units?",IF($AQ$11=1,"ac",IF($AQ$11=2,"sq-ft","Error")))</f>
        <v>Units?</v>
      </c>
      <c r="V48" s="201"/>
      <c r="Y48" s="228"/>
      <c r="Z48" s="228"/>
      <c r="AA48" s="228"/>
      <c r="AB48" s="201" t="str">
        <f>IF($AQ$11=0,"Units?",IF($AQ$11=1,"ac",IF($AQ$11=2,"sq-ft","Error")))</f>
        <v>Units?</v>
      </c>
      <c r="AC48" s="201"/>
      <c r="AE48" s="56"/>
      <c r="AF48" s="27" t="s">
        <v>120</v>
      </c>
      <c r="AH48" s="56"/>
      <c r="AI48" s="27" t="s">
        <v>121</v>
      </c>
      <c r="AM48" s="93">
        <f>IF(ISBLANK(B48),1,2)</f>
        <v>1</v>
      </c>
      <c r="AN48" s="93">
        <f>IF(AND(ISBLANK(AE48),ISBLANK(AH48)),0,1)</f>
        <v>0</v>
      </c>
      <c r="AO48" s="93">
        <f>IF(AND(ISBLANK(AE48),LEN(AH48)&gt;0),2,1)</f>
        <v>1</v>
      </c>
      <c r="AP48" s="93">
        <f>IF(ISBLANK(AE48),1,IF(ISBLANK(AH48),2,3))</f>
        <v>1</v>
      </c>
      <c r="AR48" s="25"/>
      <c r="AS48" s="22"/>
      <c r="AT48" s="64"/>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5"/>
      <c r="BV48" s="25"/>
      <c r="BW48" s="25"/>
      <c r="BX48" s="25"/>
      <c r="BY48" s="25"/>
      <c r="BZ48" s="25"/>
      <c r="CA48" s="25"/>
      <c r="CB48" s="25"/>
      <c r="CC48" s="25"/>
      <c r="CD48" s="25"/>
      <c r="CE48" s="25"/>
      <c r="CF48" s="25"/>
      <c r="CG48" s="25"/>
      <c r="CH48" s="25"/>
      <c r="CI48" s="25"/>
      <c r="CJ48" s="25"/>
    </row>
    <row r="49" spans="2:88" ht="4.95" customHeight="1" x14ac:dyDescent="0.3">
      <c r="C49" s="4"/>
      <c r="F49" s="36"/>
      <c r="G49" s="36"/>
      <c r="K49" s="110"/>
      <c r="L49" s="110"/>
      <c r="M49" s="110"/>
      <c r="N49" s="10"/>
      <c r="O49" s="10"/>
      <c r="R49" s="110"/>
      <c r="S49" s="110"/>
      <c r="T49" s="110"/>
      <c r="U49" s="10"/>
      <c r="V49" s="10"/>
      <c r="Y49" s="110"/>
      <c r="Z49" s="110"/>
      <c r="AA49" s="110"/>
      <c r="AB49" s="10"/>
      <c r="AC49" s="10"/>
      <c r="AE49" s="111"/>
      <c r="AH49" s="111"/>
      <c r="AM49" s="21">
        <f t="shared" si="0"/>
        <v>0</v>
      </c>
      <c r="AR49" s="25"/>
      <c r="AS49" s="22"/>
      <c r="AT49" s="64"/>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5"/>
      <c r="BV49" s="25"/>
      <c r="BW49" s="25"/>
      <c r="BX49" s="25"/>
      <c r="BY49" s="25"/>
      <c r="BZ49" s="25"/>
      <c r="CA49" s="25"/>
      <c r="CB49" s="25"/>
      <c r="CC49" s="25"/>
      <c r="CD49" s="25"/>
      <c r="CE49" s="25"/>
      <c r="CF49" s="25"/>
      <c r="CG49" s="25"/>
      <c r="CH49" s="25"/>
      <c r="CI49" s="25"/>
      <c r="CJ49" s="25"/>
    </row>
    <row r="50" spans="2:88" ht="15" customHeight="1" x14ac:dyDescent="0.3">
      <c r="B50" s="227"/>
      <c r="C50" s="227"/>
      <c r="D50" s="227"/>
      <c r="F50" s="227"/>
      <c r="G50" s="227"/>
      <c r="H50" s="227"/>
      <c r="K50" s="228"/>
      <c r="L50" s="228"/>
      <c r="M50" s="228"/>
      <c r="N50" s="201" t="str">
        <f>IF($AQ$11=0,"Units?",IF($AQ$11=1,"ac",IF($AQ$11=2,"sq-ft","Error")))</f>
        <v>Units?</v>
      </c>
      <c r="O50" s="201"/>
      <c r="R50" s="228"/>
      <c r="S50" s="228"/>
      <c r="T50" s="228"/>
      <c r="U50" s="201" t="str">
        <f>IF($AQ$11=0,"Units?",IF($AQ$11=1,"ac",IF($AQ$11=2,"sq-ft","Error")))</f>
        <v>Units?</v>
      </c>
      <c r="V50" s="201"/>
      <c r="Y50" s="228"/>
      <c r="Z50" s="228"/>
      <c r="AA50" s="228"/>
      <c r="AB50" s="201" t="str">
        <f>IF($AQ$11=0,"Units?",IF($AQ$11=1,"ac",IF($AQ$11=2,"sq-ft","Error")))</f>
        <v>Units?</v>
      </c>
      <c r="AC50" s="201"/>
      <c r="AE50" s="56"/>
      <c r="AF50" s="27" t="s">
        <v>120</v>
      </c>
      <c r="AH50" s="56"/>
      <c r="AI50" s="27" t="s">
        <v>121</v>
      </c>
      <c r="AM50" s="93">
        <f>IF(ISBLANK(B50),1,2)</f>
        <v>1</v>
      </c>
      <c r="AN50" s="93">
        <f>IF(AND(ISBLANK(AE50),ISBLANK(AH50)),0,1)</f>
        <v>0</v>
      </c>
      <c r="AO50" s="93">
        <f>IF(AND(ISBLANK(AE50),LEN(AH50)&gt;0),2,1)</f>
        <v>1</v>
      </c>
      <c r="AP50" s="93">
        <f>IF(ISBLANK(AE50),1,IF(ISBLANK(AH50),2,3))</f>
        <v>1</v>
      </c>
      <c r="AR50" s="25"/>
      <c r="AS50" s="22"/>
      <c r="AT50" s="64"/>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5"/>
      <c r="BV50" s="25"/>
      <c r="BW50" s="25"/>
      <c r="BX50" s="25"/>
      <c r="BY50" s="25"/>
      <c r="BZ50" s="25"/>
      <c r="CA50" s="25"/>
      <c r="CB50" s="25"/>
      <c r="CC50" s="25"/>
      <c r="CD50" s="25"/>
      <c r="CE50" s="25"/>
      <c r="CF50" s="25"/>
      <c r="CG50" s="25"/>
      <c r="CH50" s="25"/>
      <c r="CI50" s="25"/>
      <c r="CJ50" s="25"/>
    </row>
    <row r="51" spans="2:88" ht="4.95" customHeight="1" x14ac:dyDescent="0.3">
      <c r="C51" s="4"/>
      <c r="F51" s="36"/>
      <c r="G51" s="36"/>
      <c r="K51" s="110"/>
      <c r="L51" s="110"/>
      <c r="M51" s="110"/>
      <c r="N51" s="10"/>
      <c r="O51" s="10"/>
      <c r="R51" s="110"/>
      <c r="S51" s="110"/>
      <c r="T51" s="110"/>
      <c r="U51" s="10"/>
      <c r="V51" s="10"/>
      <c r="Y51" s="110"/>
      <c r="Z51" s="110"/>
      <c r="AA51" s="110"/>
      <c r="AB51" s="10"/>
      <c r="AC51" s="10"/>
      <c r="AE51" s="111"/>
      <c r="AH51" s="111"/>
      <c r="AM51" s="21">
        <f t="shared" si="0"/>
        <v>0</v>
      </c>
      <c r="AR51" s="25"/>
      <c r="AS51" s="22"/>
      <c r="AT51" s="64"/>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5"/>
      <c r="BV51" s="25"/>
      <c r="BW51" s="25"/>
      <c r="BX51" s="25"/>
      <c r="BY51" s="25"/>
      <c r="BZ51" s="25"/>
      <c r="CA51" s="25"/>
      <c r="CB51" s="25"/>
      <c r="CC51" s="25"/>
      <c r="CD51" s="25"/>
      <c r="CE51" s="25"/>
      <c r="CF51" s="25"/>
      <c r="CG51" s="25"/>
      <c r="CH51" s="25"/>
      <c r="CI51" s="25"/>
      <c r="CJ51" s="25"/>
    </row>
    <row r="52" spans="2:88" ht="15" customHeight="1" x14ac:dyDescent="0.3">
      <c r="B52" s="227"/>
      <c r="C52" s="227"/>
      <c r="D52" s="227"/>
      <c r="F52" s="227"/>
      <c r="G52" s="227"/>
      <c r="H52" s="227"/>
      <c r="K52" s="228"/>
      <c r="L52" s="228"/>
      <c r="M52" s="228"/>
      <c r="N52" s="201" t="str">
        <f>IF($AQ$11=0,"Units?",IF($AQ$11=1,"ac",IF($AQ$11=2,"sq-ft","Error")))</f>
        <v>Units?</v>
      </c>
      <c r="O52" s="201"/>
      <c r="R52" s="228"/>
      <c r="S52" s="228"/>
      <c r="T52" s="228"/>
      <c r="U52" s="201" t="str">
        <f>IF($AQ$11=0,"Units?",IF($AQ$11=1,"ac",IF($AQ$11=2,"sq-ft","Error")))</f>
        <v>Units?</v>
      </c>
      <c r="V52" s="201"/>
      <c r="Y52" s="228"/>
      <c r="Z52" s="228"/>
      <c r="AA52" s="228"/>
      <c r="AB52" s="201" t="str">
        <f>IF($AQ$11=0,"Units?",IF($AQ$11=1,"ac",IF($AQ$11=2,"sq-ft","Error")))</f>
        <v>Units?</v>
      </c>
      <c r="AC52" s="201"/>
      <c r="AE52" s="56"/>
      <c r="AF52" s="27" t="s">
        <v>120</v>
      </c>
      <c r="AH52" s="56"/>
      <c r="AI52" s="27" t="s">
        <v>121</v>
      </c>
      <c r="AM52" s="93">
        <f>IF(ISBLANK(B52),1,2)</f>
        <v>1</v>
      </c>
      <c r="AN52" s="93">
        <f>IF(AND(ISBLANK(AE52),ISBLANK(AH52)),0,1)</f>
        <v>0</v>
      </c>
      <c r="AO52" s="93">
        <f>IF(AND(ISBLANK(AE52),LEN(AH52)&gt;0),2,1)</f>
        <v>1</v>
      </c>
      <c r="AP52" s="93">
        <f>IF(ISBLANK(AE52),1,IF(ISBLANK(AH52),2,3))</f>
        <v>1</v>
      </c>
      <c r="AR52" s="25"/>
      <c r="AS52" s="22"/>
      <c r="AT52" s="64"/>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5"/>
      <c r="BV52" s="25"/>
      <c r="BW52" s="25"/>
      <c r="BX52" s="25"/>
      <c r="BY52" s="25"/>
      <c r="BZ52" s="25"/>
      <c r="CA52" s="25"/>
      <c r="CB52" s="25"/>
      <c r="CC52" s="25"/>
      <c r="CD52" s="25"/>
      <c r="CE52" s="25"/>
      <c r="CF52" s="25"/>
      <c r="CG52" s="25"/>
      <c r="CH52" s="25"/>
      <c r="CI52" s="25"/>
      <c r="CJ52" s="25"/>
    </row>
    <row r="53" spans="2:88" ht="4.95" customHeight="1" x14ac:dyDescent="0.3">
      <c r="AR53" s="25"/>
      <c r="AS53" s="22"/>
      <c r="AT53" s="64"/>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5"/>
      <c r="BV53" s="25"/>
      <c r="BW53" s="25"/>
      <c r="BX53" s="25"/>
      <c r="BY53" s="25"/>
      <c r="BZ53" s="25"/>
      <c r="CA53" s="25"/>
      <c r="CB53" s="25"/>
      <c r="CC53" s="25"/>
      <c r="CD53" s="25"/>
      <c r="CE53" s="25"/>
      <c r="CF53" s="25"/>
      <c r="CG53" s="25"/>
      <c r="CH53" s="25"/>
      <c r="CI53" s="25"/>
      <c r="CJ53" s="25"/>
    </row>
    <row r="54" spans="2:88" ht="15" customHeight="1" x14ac:dyDescent="0.3">
      <c r="J54" s="2" t="s">
        <v>380</v>
      </c>
      <c r="K54" s="230">
        <f>SUM(K24:M52)</f>
        <v>0</v>
      </c>
      <c r="L54" s="230"/>
      <c r="M54" s="230"/>
      <c r="N54" s="201" t="str">
        <f>IF($AQ$11=0,"Units?",IF($AQ$11=1,"ac",IF($AQ$11=2,"sq-ft","Error")))</f>
        <v>Units?</v>
      </c>
      <c r="O54" s="201"/>
      <c r="Q54" s="2" t="s">
        <v>380</v>
      </c>
      <c r="R54" s="231">
        <f>IF(ISERR(SUM(R24:T52)),0,SUM(R24:T52))</f>
        <v>0</v>
      </c>
      <c r="S54" s="231"/>
      <c r="T54" s="231"/>
      <c r="U54" s="201" t="str">
        <f>IF($AQ$11=0,"Units?",IF($AQ$11=1,"ac",IF($AQ$11=2,"sq-ft","Error")))</f>
        <v>Units?</v>
      </c>
      <c r="V54" s="201"/>
      <c r="X54" s="2" t="s">
        <v>380</v>
      </c>
      <c r="Y54" s="231">
        <f>IF(ISERR(SUM(Y24:AA52)),0,SUM(Y24:AA52))</f>
        <v>0</v>
      </c>
      <c r="Z54" s="231"/>
      <c r="AA54" s="231"/>
      <c r="AB54" s="201" t="str">
        <f>IF($AQ$11=0,"Units?",IF($AQ$11=1,"ac",IF($AQ$11=2,"sq-ft","Error")))</f>
        <v>Units?</v>
      </c>
      <c r="AC54" s="201"/>
      <c r="AR54" s="25"/>
      <c r="AS54" s="22"/>
      <c r="AT54" s="64"/>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5"/>
      <c r="BV54" s="25"/>
      <c r="BW54" s="25"/>
      <c r="BX54" s="25"/>
      <c r="BY54" s="25"/>
      <c r="BZ54" s="25"/>
      <c r="CA54" s="25"/>
      <c r="CB54" s="25"/>
      <c r="CC54" s="25"/>
      <c r="CD54" s="25"/>
      <c r="CE54" s="25"/>
      <c r="CF54" s="25"/>
      <c r="CG54" s="25"/>
      <c r="CH54" s="25"/>
      <c r="CI54" s="25"/>
      <c r="CJ54" s="25"/>
    </row>
    <row r="55" spans="2:88" ht="15" customHeight="1" x14ac:dyDescent="0.3">
      <c r="R55" s="229">
        <f>IF(ISERR(R54/$K54),0,R54/$K54*100)</f>
        <v>0</v>
      </c>
      <c r="S55" s="229"/>
      <c r="T55" s="229"/>
      <c r="U55" s="27" t="s">
        <v>220</v>
      </c>
      <c r="Y55" s="229">
        <f>IF(ISERR(Y54/$K54),0,Y54/$K54*100)</f>
        <v>0</v>
      </c>
      <c r="Z55" s="229"/>
      <c r="AA55" s="229"/>
      <c r="AB55" s="27" t="s">
        <v>220</v>
      </c>
      <c r="AR55" s="25"/>
      <c r="AS55" s="22"/>
      <c r="AT55" s="64"/>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5"/>
      <c r="BV55" s="25"/>
      <c r="BW55" s="25"/>
      <c r="BX55" s="25"/>
      <c r="BY55" s="25"/>
      <c r="BZ55" s="25"/>
      <c r="CA55" s="25"/>
      <c r="CB55" s="25"/>
      <c r="CC55" s="25"/>
      <c r="CD55" s="25"/>
      <c r="CE55" s="25"/>
      <c r="CF55" s="25"/>
      <c r="CG55" s="25"/>
      <c r="CH55" s="25"/>
      <c r="CI55" s="25"/>
      <c r="CJ55" s="25"/>
    </row>
    <row r="56" spans="2:88" ht="15" customHeight="1" x14ac:dyDescent="0.3">
      <c r="AR56" s="25"/>
      <c r="AS56" s="22"/>
      <c r="AT56" s="64"/>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5"/>
      <c r="BV56" s="25"/>
      <c r="BW56" s="25"/>
      <c r="BX56" s="25"/>
      <c r="BY56" s="25"/>
      <c r="BZ56" s="25"/>
      <c r="CA56" s="25"/>
      <c r="CB56" s="25"/>
      <c r="CC56" s="25"/>
      <c r="CD56" s="25"/>
      <c r="CE56" s="25"/>
      <c r="CF56" s="25"/>
      <c r="CG56" s="25"/>
      <c r="CH56" s="25"/>
      <c r="CI56" s="25"/>
      <c r="CJ56" s="25"/>
    </row>
    <row r="57" spans="2:88" ht="15" customHeight="1" x14ac:dyDescent="0.3">
      <c r="AR57" s="25"/>
      <c r="AS57" s="22"/>
      <c r="AT57" s="64"/>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5"/>
      <c r="BV57" s="25"/>
      <c r="BW57" s="25"/>
      <c r="BX57" s="25"/>
      <c r="BY57" s="25"/>
      <c r="BZ57" s="25"/>
      <c r="CA57" s="25"/>
      <c r="CB57" s="25"/>
      <c r="CC57" s="25"/>
      <c r="CD57" s="25"/>
      <c r="CE57" s="25"/>
      <c r="CF57" s="25"/>
      <c r="CG57" s="25"/>
      <c r="CH57" s="25"/>
      <c r="CI57" s="25"/>
      <c r="CJ57" s="25"/>
    </row>
    <row r="58" spans="2:88" ht="15" customHeight="1" x14ac:dyDescent="0.3">
      <c r="AR58" s="25"/>
      <c r="AS58" s="22"/>
      <c r="AT58" s="64"/>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5"/>
      <c r="BV58" s="25"/>
      <c r="BW58" s="25"/>
      <c r="BX58" s="25"/>
      <c r="BY58" s="25"/>
      <c r="BZ58" s="25"/>
      <c r="CA58" s="25"/>
      <c r="CB58" s="25"/>
      <c r="CC58" s="25"/>
      <c r="CD58" s="25"/>
      <c r="CE58" s="25"/>
      <c r="CF58" s="25"/>
      <c r="CG58" s="25"/>
      <c r="CH58" s="25"/>
      <c r="CI58" s="25"/>
      <c r="CJ58" s="25"/>
    </row>
    <row r="59" spans="2:88" ht="15" customHeight="1" x14ac:dyDescent="0.3">
      <c r="AR59" s="25"/>
      <c r="AS59" s="22"/>
      <c r="AT59" s="64"/>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5"/>
      <c r="BV59" s="25"/>
      <c r="BW59" s="25"/>
      <c r="BX59" s="25"/>
      <c r="BY59" s="25"/>
      <c r="BZ59" s="25"/>
      <c r="CA59" s="25"/>
      <c r="CB59" s="25"/>
      <c r="CC59" s="25"/>
      <c r="CD59" s="25"/>
      <c r="CE59" s="25"/>
      <c r="CF59" s="25"/>
      <c r="CG59" s="25"/>
      <c r="CH59" s="25"/>
      <c r="CI59" s="25"/>
      <c r="CJ59" s="25"/>
    </row>
    <row r="60" spans="2:88" ht="15" customHeight="1" x14ac:dyDescent="0.3">
      <c r="AR60" s="25"/>
      <c r="AS60" s="22"/>
      <c r="AT60" s="64"/>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5"/>
      <c r="BV60" s="25"/>
      <c r="BW60" s="25"/>
      <c r="BX60" s="25"/>
      <c r="BY60" s="25"/>
      <c r="BZ60" s="25"/>
      <c r="CA60" s="25"/>
      <c r="CB60" s="25"/>
      <c r="CC60" s="25"/>
      <c r="CD60" s="25"/>
      <c r="CE60" s="25"/>
      <c r="CF60" s="25"/>
      <c r="CG60" s="25"/>
      <c r="CH60" s="25"/>
      <c r="CI60" s="25"/>
      <c r="CJ60" s="25"/>
    </row>
    <row r="61" spans="2:88" ht="15" customHeight="1" x14ac:dyDescent="0.3">
      <c r="AR61" s="25"/>
      <c r="AS61" s="22"/>
      <c r="AT61" s="64"/>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5"/>
      <c r="BV61" s="25"/>
      <c r="BW61" s="25"/>
      <c r="BX61" s="25"/>
      <c r="BY61" s="25"/>
      <c r="BZ61" s="25"/>
      <c r="CA61" s="25"/>
      <c r="CB61" s="25"/>
      <c r="CC61" s="25"/>
      <c r="CD61" s="25"/>
      <c r="CE61" s="25"/>
      <c r="CF61" s="25"/>
      <c r="CG61" s="25"/>
      <c r="CH61" s="25"/>
      <c r="CI61" s="25"/>
      <c r="CJ61" s="25"/>
    </row>
    <row r="62" spans="2:88" ht="15" customHeight="1" x14ac:dyDescent="0.3">
      <c r="AR62" s="25"/>
      <c r="AS62" s="22"/>
      <c r="AT62" s="64"/>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5"/>
      <c r="BV62" s="25"/>
      <c r="BW62" s="25"/>
      <c r="BX62" s="25"/>
      <c r="BY62" s="25"/>
      <c r="BZ62" s="25"/>
      <c r="CA62" s="25"/>
      <c r="CB62" s="25"/>
      <c r="CC62" s="25"/>
      <c r="CD62" s="25"/>
      <c r="CE62" s="25"/>
      <c r="CF62" s="25"/>
      <c r="CG62" s="25"/>
      <c r="CH62" s="25"/>
      <c r="CI62" s="25"/>
      <c r="CJ62" s="25"/>
    </row>
    <row r="63" spans="2:88" ht="15" customHeight="1" x14ac:dyDescent="0.3">
      <c r="B63" s="179">
        <f>Tables!F13</f>
        <v>45931</v>
      </c>
      <c r="C63" s="179"/>
      <c r="D63" s="179"/>
      <c r="E63" s="179"/>
      <c r="F63" s="179"/>
      <c r="G63" s="179"/>
      <c r="H63" s="179"/>
      <c r="R63" s="180" t="s">
        <v>381</v>
      </c>
      <c r="S63" s="180"/>
      <c r="T63" s="180"/>
      <c r="U63" s="180"/>
      <c r="AR63" s="25"/>
      <c r="AS63" s="22"/>
      <c r="AT63" s="64"/>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5"/>
      <c r="BV63" s="25"/>
      <c r="BW63" s="25"/>
      <c r="BX63" s="25"/>
      <c r="BY63" s="25"/>
      <c r="BZ63" s="25"/>
      <c r="CA63" s="25"/>
      <c r="CB63" s="25"/>
      <c r="CC63" s="25"/>
      <c r="CD63" s="25"/>
      <c r="CE63" s="25"/>
      <c r="CF63" s="25"/>
      <c r="CG63" s="25"/>
      <c r="CH63" s="25"/>
      <c r="CI63" s="25"/>
      <c r="CJ63" s="25"/>
    </row>
    <row r="64" spans="2:88" ht="15" customHeight="1" x14ac:dyDescent="0.3">
      <c r="C64" s="2" t="s">
        <v>129</v>
      </c>
      <c r="D64" s="182">
        <f>IF(ISBLANK($E$7),0,$E$7)</f>
        <v>0</v>
      </c>
      <c r="E64" s="182"/>
      <c r="F64" s="182"/>
      <c r="G64" s="182"/>
      <c r="H64" s="182"/>
      <c r="I64" s="182"/>
      <c r="J64" s="182"/>
      <c r="K64" s="182"/>
      <c r="L64" s="182"/>
      <c r="M64" s="182"/>
      <c r="N64" s="182"/>
      <c r="O64" s="182"/>
      <c r="P64" s="182"/>
      <c r="Q64" s="182"/>
      <c r="R64" s="182"/>
      <c r="S64" s="182"/>
      <c r="T64" s="182"/>
      <c r="U64" s="182"/>
      <c r="V64" s="182"/>
      <c r="W64" s="182"/>
      <c r="X64" s="182"/>
      <c r="Y64" s="182"/>
      <c r="AD64" s="2" t="s">
        <v>165</v>
      </c>
      <c r="AE64" s="183">
        <f>IF(ISBLANK($AE$7),0,$AE$7)</f>
        <v>0</v>
      </c>
      <c r="AF64" s="183"/>
      <c r="AG64" s="183"/>
      <c r="AH64" s="183"/>
      <c r="AI64" s="183"/>
      <c r="AJ64" s="183"/>
      <c r="AR64" s="25"/>
      <c r="AS64" s="22"/>
      <c r="AT64" s="64"/>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5"/>
      <c r="BV64" s="25"/>
      <c r="BW64" s="25"/>
      <c r="BX64" s="25"/>
      <c r="BY64" s="25"/>
      <c r="BZ64" s="25"/>
      <c r="CA64" s="25"/>
      <c r="CB64" s="25"/>
      <c r="CC64" s="25"/>
      <c r="CD64" s="25"/>
      <c r="CE64" s="25"/>
      <c r="CF64" s="25"/>
      <c r="CG64" s="25"/>
      <c r="CH64" s="25"/>
      <c r="CI64" s="25"/>
      <c r="CJ64" s="25"/>
    </row>
    <row r="65" spans="2:88" ht="15" customHeight="1" x14ac:dyDescent="0.3">
      <c r="B65" s="5"/>
      <c r="AR65" s="25"/>
      <c r="AS65" s="22"/>
      <c r="AT65" s="64"/>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5"/>
      <c r="BV65" s="25"/>
      <c r="BW65" s="25"/>
      <c r="BX65" s="25"/>
      <c r="BY65" s="25"/>
      <c r="BZ65" s="25"/>
      <c r="CA65" s="25"/>
      <c r="CB65" s="25"/>
      <c r="CC65" s="25"/>
      <c r="CD65" s="25"/>
      <c r="CE65" s="25"/>
      <c r="CF65" s="25"/>
      <c r="CG65" s="25"/>
      <c r="CH65" s="25"/>
      <c r="CI65" s="25"/>
      <c r="CJ65" s="25"/>
    </row>
    <row r="66" spans="2:88" ht="15" customHeight="1" x14ac:dyDescent="0.3">
      <c r="B66" s="5" t="s">
        <v>22</v>
      </c>
      <c r="AR66" s="25"/>
      <c r="AS66" s="22"/>
      <c r="AT66" s="64"/>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5"/>
      <c r="BV66" s="25"/>
      <c r="BW66" s="25"/>
      <c r="BX66" s="25"/>
      <c r="BY66" s="25"/>
      <c r="BZ66" s="25"/>
      <c r="CA66" s="25"/>
      <c r="CB66" s="25"/>
      <c r="CC66" s="25"/>
      <c r="CD66" s="25"/>
      <c r="CE66" s="25"/>
      <c r="CF66" s="25"/>
      <c r="CG66" s="25"/>
      <c r="CH66" s="25"/>
      <c r="CI66" s="25"/>
      <c r="CJ66" s="25"/>
    </row>
    <row r="67" spans="2:88" ht="15" customHeight="1" x14ac:dyDescent="0.3">
      <c r="B67" s="214"/>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6"/>
      <c r="AM67" s="93">
        <f>IF(SUM(AO15,AO16,AO18,AO20)&gt;0,2,1)</f>
        <v>1</v>
      </c>
      <c r="AR67" s="25"/>
      <c r="AS67" s="22"/>
      <c r="AT67" s="64"/>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5"/>
      <c r="BV67" s="25"/>
      <c r="BW67" s="25"/>
      <c r="BX67" s="25"/>
      <c r="BY67" s="25"/>
      <c r="BZ67" s="25"/>
      <c r="CA67" s="25"/>
      <c r="CB67" s="25"/>
      <c r="CC67" s="25"/>
      <c r="CD67" s="25"/>
      <c r="CE67" s="25"/>
      <c r="CF67" s="25"/>
      <c r="CG67" s="25"/>
      <c r="CH67" s="25"/>
      <c r="CI67" s="25"/>
      <c r="CJ67" s="25"/>
    </row>
    <row r="68" spans="2:88" ht="15" customHeight="1" x14ac:dyDescent="0.3">
      <c r="B68" s="217"/>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9"/>
      <c r="AR68" s="25"/>
      <c r="AS68" s="22"/>
      <c r="AT68" s="64"/>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5"/>
      <c r="BV68" s="25"/>
      <c r="BW68" s="25"/>
      <c r="BX68" s="25"/>
      <c r="BY68" s="25"/>
      <c r="BZ68" s="25"/>
      <c r="CA68" s="25"/>
      <c r="CB68" s="25"/>
      <c r="CC68" s="25"/>
      <c r="CD68" s="25"/>
      <c r="CE68" s="25"/>
      <c r="CF68" s="25"/>
      <c r="CG68" s="25"/>
      <c r="CH68" s="25"/>
      <c r="CI68" s="25"/>
      <c r="CJ68" s="25"/>
    </row>
    <row r="69" spans="2:88" ht="15" customHeight="1" x14ac:dyDescent="0.3">
      <c r="B69" s="217"/>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9"/>
      <c r="AR69" s="25"/>
      <c r="AS69" s="22"/>
      <c r="AT69" s="64"/>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5"/>
      <c r="BV69" s="25"/>
      <c r="BW69" s="25"/>
      <c r="BX69" s="25"/>
      <c r="BY69" s="25"/>
      <c r="BZ69" s="25"/>
      <c r="CA69" s="25"/>
      <c r="CB69" s="25"/>
      <c r="CC69" s="25"/>
      <c r="CD69" s="25"/>
      <c r="CE69" s="25"/>
      <c r="CF69" s="25"/>
      <c r="CG69" s="25"/>
      <c r="CH69" s="25"/>
      <c r="CI69" s="25"/>
      <c r="CJ69" s="25"/>
    </row>
    <row r="70" spans="2:88" ht="15" customHeight="1" x14ac:dyDescent="0.3">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9"/>
      <c r="AR70" s="25"/>
      <c r="AS70" s="22"/>
      <c r="AT70" s="64"/>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5"/>
      <c r="BV70" s="25"/>
      <c r="BW70" s="25"/>
      <c r="BX70" s="25"/>
      <c r="BY70" s="25"/>
      <c r="BZ70" s="25"/>
      <c r="CA70" s="25"/>
      <c r="CB70" s="25"/>
      <c r="CC70" s="25"/>
      <c r="CD70" s="25"/>
      <c r="CE70" s="25"/>
      <c r="CF70" s="25"/>
      <c r="CG70" s="25"/>
      <c r="CH70" s="25"/>
      <c r="CI70" s="25"/>
      <c r="CJ70" s="25"/>
    </row>
    <row r="71" spans="2:88" ht="15" customHeight="1" x14ac:dyDescent="0.3">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9"/>
      <c r="AR71" s="25"/>
      <c r="AS71" s="22"/>
      <c r="AT71" s="64"/>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5"/>
      <c r="BV71" s="25"/>
      <c r="BW71" s="25"/>
      <c r="BX71" s="25"/>
      <c r="BY71" s="25"/>
      <c r="BZ71" s="25"/>
      <c r="CA71" s="25"/>
      <c r="CB71" s="25"/>
      <c r="CC71" s="25"/>
      <c r="CD71" s="25"/>
      <c r="CE71" s="25"/>
      <c r="CF71" s="25"/>
      <c r="CG71" s="25"/>
      <c r="CH71" s="25"/>
      <c r="CI71" s="25"/>
      <c r="CJ71" s="25"/>
    </row>
    <row r="72" spans="2:88" ht="15" customHeight="1" x14ac:dyDescent="0.3">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9"/>
      <c r="AR72" s="25"/>
      <c r="AS72" s="22"/>
      <c r="AT72" s="64"/>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5"/>
      <c r="BV72" s="25"/>
      <c r="BW72" s="25"/>
      <c r="BX72" s="25"/>
      <c r="BY72" s="25"/>
      <c r="BZ72" s="25"/>
      <c r="CA72" s="25"/>
      <c r="CB72" s="25"/>
      <c r="CC72" s="25"/>
      <c r="CD72" s="25"/>
      <c r="CE72" s="25"/>
      <c r="CF72" s="25"/>
      <c r="CG72" s="25"/>
      <c r="CH72" s="25"/>
      <c r="CI72" s="25"/>
      <c r="CJ72" s="25"/>
    </row>
    <row r="73" spans="2:88" ht="15" customHeight="1" x14ac:dyDescent="0.3">
      <c r="B73" s="217"/>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9"/>
      <c r="AR73" s="25"/>
      <c r="AS73" s="22"/>
      <c r="AT73" s="64"/>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5"/>
      <c r="BV73" s="25"/>
      <c r="BW73" s="25"/>
      <c r="BX73" s="25"/>
      <c r="BY73" s="25"/>
      <c r="BZ73" s="25"/>
      <c r="CA73" s="25"/>
      <c r="CB73" s="25"/>
      <c r="CC73" s="25"/>
      <c r="CD73" s="25"/>
      <c r="CE73" s="25"/>
      <c r="CF73" s="25"/>
      <c r="CG73" s="25"/>
      <c r="CH73" s="25"/>
      <c r="CI73" s="25"/>
      <c r="CJ73" s="25"/>
    </row>
    <row r="74" spans="2:88" ht="15" customHeight="1" x14ac:dyDescent="0.3">
      <c r="B74" s="217"/>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9"/>
      <c r="AR74" s="25"/>
      <c r="AS74" s="22"/>
      <c r="AT74" s="64"/>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5"/>
      <c r="BV74" s="25"/>
      <c r="BW74" s="25"/>
      <c r="BX74" s="25"/>
      <c r="BY74" s="25"/>
      <c r="BZ74" s="25"/>
      <c r="CA74" s="25"/>
      <c r="CB74" s="25"/>
      <c r="CC74" s="25"/>
      <c r="CD74" s="25"/>
      <c r="CE74" s="25"/>
      <c r="CF74" s="25"/>
      <c r="CG74" s="25"/>
      <c r="CH74" s="25"/>
      <c r="CI74" s="25"/>
      <c r="CJ74" s="25"/>
    </row>
    <row r="75" spans="2:88" ht="15" customHeight="1" x14ac:dyDescent="0.3">
      <c r="B75" s="217"/>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9"/>
      <c r="AR75" s="25"/>
      <c r="AS75" s="22"/>
      <c r="AT75" s="64"/>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5"/>
      <c r="BV75" s="25"/>
      <c r="BW75" s="25"/>
      <c r="BX75" s="25"/>
      <c r="BY75" s="25"/>
      <c r="BZ75" s="25"/>
      <c r="CA75" s="25"/>
      <c r="CB75" s="25"/>
      <c r="CC75" s="25"/>
      <c r="CD75" s="25"/>
      <c r="CE75" s="25"/>
      <c r="CF75" s="25"/>
      <c r="CG75" s="25"/>
      <c r="CH75" s="25"/>
      <c r="CI75" s="25"/>
      <c r="CJ75" s="25"/>
    </row>
    <row r="76" spans="2:88" ht="15" customHeight="1" x14ac:dyDescent="0.3">
      <c r="B76" s="220"/>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2"/>
      <c r="AR76" s="25"/>
      <c r="AS76" s="22"/>
      <c r="AT76" s="64"/>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5"/>
      <c r="BV76" s="25"/>
      <c r="BW76" s="25"/>
      <c r="BX76" s="25"/>
      <c r="BY76" s="25"/>
      <c r="BZ76" s="25"/>
      <c r="CA76" s="25"/>
      <c r="CB76" s="25"/>
      <c r="CC76" s="25"/>
      <c r="CD76" s="25"/>
      <c r="CE76" s="25"/>
      <c r="CF76" s="25"/>
      <c r="CG76" s="25"/>
      <c r="CH76" s="25"/>
      <c r="CI76" s="25"/>
      <c r="CJ76" s="25"/>
    </row>
    <row r="77" spans="2:88" ht="15" customHeight="1" x14ac:dyDescent="0.3">
      <c r="B77" s="5"/>
      <c r="AR77" s="25"/>
      <c r="AS77" s="22"/>
      <c r="AT77" s="64"/>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5"/>
      <c r="BV77" s="25"/>
      <c r="BW77" s="25"/>
      <c r="BX77" s="25"/>
      <c r="BY77" s="25"/>
      <c r="BZ77" s="25"/>
      <c r="CA77" s="25"/>
      <c r="CB77" s="25"/>
      <c r="CC77" s="25"/>
      <c r="CD77" s="25"/>
      <c r="CE77" s="25"/>
      <c r="CF77" s="25"/>
      <c r="CG77" s="25"/>
      <c r="CH77" s="25"/>
      <c r="CI77" s="25"/>
      <c r="CJ77" s="25"/>
    </row>
    <row r="78" spans="2:88" ht="15" customHeight="1" x14ac:dyDescent="0.3">
      <c r="B78" s="1" t="s">
        <v>19</v>
      </c>
      <c r="C78" s="1"/>
      <c r="D78" s="1"/>
      <c r="AR78" s="25"/>
      <c r="AS78" s="25"/>
      <c r="AT78" s="106"/>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row>
    <row r="79" spans="2:88" ht="4.95" customHeight="1" x14ac:dyDescent="0.3">
      <c r="B79" s="1"/>
      <c r="C79" s="1"/>
      <c r="D79" s="1"/>
      <c r="AR79" s="25"/>
      <c r="AS79" s="25"/>
      <c r="AT79" s="106"/>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row>
    <row r="80" spans="2:88" ht="15" customHeight="1" x14ac:dyDescent="0.3">
      <c r="B80" s="86" t="s">
        <v>385</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R80" s="25"/>
      <c r="AS80" s="25"/>
      <c r="AT80" s="106"/>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row>
    <row r="81" spans="2:88" ht="15" customHeight="1" x14ac:dyDescent="0.3">
      <c r="B81" s="86" t="s">
        <v>386</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R81" s="25"/>
      <c r="AS81" s="25"/>
      <c r="AT81" s="106"/>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row>
    <row r="82" spans="2:88" ht="15" customHeight="1" x14ac:dyDescent="0.3">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R82" s="25"/>
      <c r="AS82" s="25"/>
      <c r="AT82" s="106"/>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row>
    <row r="83" spans="2:88" ht="15" customHeight="1" x14ac:dyDescent="0.3">
      <c r="D83" s="2" t="s">
        <v>168</v>
      </c>
      <c r="E83" s="188"/>
      <c r="F83" s="188"/>
      <c r="G83" s="188"/>
      <c r="H83" s="188"/>
      <c r="I83" s="188"/>
      <c r="J83" s="188"/>
      <c r="K83" s="188"/>
      <c r="L83" s="188"/>
      <c r="M83" s="188"/>
      <c r="N83" s="188"/>
      <c r="O83" s="188"/>
      <c r="P83" s="188"/>
      <c r="Q83" s="188"/>
      <c r="R83" s="188"/>
      <c r="S83" s="188"/>
      <c r="T83" s="188"/>
      <c r="U83" s="188"/>
      <c r="V83" s="188"/>
      <c r="W83" s="188"/>
      <c r="X83" s="188"/>
      <c r="Y83" s="188"/>
      <c r="AB83" s="2" t="s">
        <v>345</v>
      </c>
      <c r="AC83" s="2"/>
      <c r="AD83" s="2"/>
      <c r="AE83" s="2"/>
      <c r="AR83" s="25"/>
      <c r="AS83" s="25"/>
      <c r="AT83" s="106"/>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row>
    <row r="84" spans="2:88" ht="15" customHeight="1" x14ac:dyDescent="0.3">
      <c r="D84" s="2" t="s">
        <v>129</v>
      </c>
      <c r="E84" s="207"/>
      <c r="F84" s="207"/>
      <c r="G84" s="207"/>
      <c r="H84" s="207"/>
      <c r="I84" s="207"/>
      <c r="J84" s="207"/>
      <c r="K84" s="207"/>
      <c r="L84" s="207"/>
      <c r="M84" s="207"/>
      <c r="N84" s="207"/>
      <c r="O84" s="207"/>
      <c r="P84" s="207"/>
      <c r="Q84" s="207"/>
      <c r="R84" s="207"/>
      <c r="S84" s="207"/>
      <c r="T84" s="207"/>
      <c r="U84" s="207"/>
      <c r="V84" s="207"/>
      <c r="W84" s="207"/>
      <c r="X84" s="207"/>
      <c r="Y84" s="207"/>
      <c r="AR84" s="25"/>
      <c r="AS84" s="25"/>
      <c r="AT84" s="106"/>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row>
    <row r="85" spans="2:88" ht="15" customHeight="1" x14ac:dyDescent="0.3">
      <c r="D85" s="2" t="s">
        <v>130</v>
      </c>
      <c r="E85" s="207"/>
      <c r="F85" s="207"/>
      <c r="G85" s="207"/>
      <c r="H85" s="207"/>
      <c r="I85" s="207"/>
      <c r="J85" s="207"/>
      <c r="K85" s="207"/>
      <c r="L85" s="207"/>
      <c r="M85" s="207"/>
      <c r="N85" s="207"/>
      <c r="O85" s="207"/>
      <c r="P85" s="207"/>
      <c r="Q85" s="207"/>
      <c r="R85" s="207"/>
      <c r="S85" s="207"/>
      <c r="T85" s="207"/>
      <c r="U85" s="207"/>
      <c r="V85" s="207"/>
      <c r="W85" s="207"/>
      <c r="X85" s="207"/>
      <c r="Y85" s="207"/>
      <c r="AR85" s="25"/>
      <c r="AS85" s="25"/>
      <c r="AT85" s="106"/>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row>
    <row r="86" spans="2:88" ht="15" customHeight="1" x14ac:dyDescent="0.3">
      <c r="D86" s="2" t="s">
        <v>327</v>
      </c>
      <c r="E86" s="207"/>
      <c r="F86" s="207"/>
      <c r="G86" s="207"/>
      <c r="H86" s="207"/>
      <c r="I86" s="207"/>
      <c r="J86" s="207"/>
      <c r="K86" s="207"/>
      <c r="L86" s="62"/>
      <c r="M86" s="62"/>
      <c r="N86" s="102" t="s">
        <v>133</v>
      </c>
      <c r="O86" s="207"/>
      <c r="P86" s="207"/>
      <c r="Q86" s="207"/>
      <c r="R86" s="207"/>
      <c r="S86" s="62"/>
      <c r="T86" s="62"/>
      <c r="U86" s="62"/>
      <c r="V86" s="102" t="s">
        <v>134</v>
      </c>
      <c r="W86" s="194"/>
      <c r="X86" s="194"/>
      <c r="Y86" s="194"/>
      <c r="AR86" s="25"/>
      <c r="AS86" s="25"/>
      <c r="AT86" s="106"/>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row>
    <row r="87" spans="2:88" ht="15" customHeight="1" x14ac:dyDescent="0.3">
      <c r="C87" s="63"/>
      <c r="D87" s="2" t="s">
        <v>131</v>
      </c>
      <c r="E87" s="208"/>
      <c r="F87" s="208"/>
      <c r="G87" s="208"/>
      <c r="H87" s="208"/>
      <c r="I87" s="208"/>
      <c r="J87" s="208"/>
      <c r="K87" s="208"/>
      <c r="L87" s="208"/>
      <c r="M87" s="208"/>
      <c r="N87" s="208"/>
      <c r="O87" s="208"/>
      <c r="P87" s="208"/>
      <c r="Q87" s="208"/>
      <c r="R87" s="208"/>
      <c r="S87" s="208"/>
      <c r="T87" s="208"/>
      <c r="U87" s="208"/>
      <c r="V87" s="208"/>
      <c r="W87" s="208"/>
      <c r="X87" s="208"/>
      <c r="Y87" s="208"/>
      <c r="AR87" s="25"/>
      <c r="AS87" s="25"/>
      <c r="AT87" s="106"/>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row>
    <row r="88" spans="2:88" ht="15" customHeight="1" x14ac:dyDescent="0.3">
      <c r="D88" s="2" t="s">
        <v>135</v>
      </c>
      <c r="E88" s="209"/>
      <c r="F88" s="209"/>
      <c r="G88" s="209"/>
      <c r="H88" s="209"/>
      <c r="I88" s="209"/>
      <c r="U88" s="54"/>
      <c r="V88" s="54"/>
      <c r="W88" s="54"/>
      <c r="AR88" s="25"/>
      <c r="AS88" s="25"/>
      <c r="AT88" s="106"/>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row>
    <row r="89" spans="2:88" ht="15" customHeight="1" x14ac:dyDescent="0.3">
      <c r="D89" s="2"/>
      <c r="E89" s="62"/>
      <c r="F89" s="62"/>
      <c r="G89" s="62"/>
      <c r="H89" s="62"/>
      <c r="I89" s="62"/>
      <c r="U89" s="54"/>
      <c r="V89" s="54"/>
      <c r="W89" s="54"/>
      <c r="AR89" s="25"/>
      <c r="AS89" s="25"/>
      <c r="AT89" s="106"/>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row>
    <row r="90" spans="2:88" ht="15" customHeight="1" x14ac:dyDescent="0.3">
      <c r="D90" s="2" t="s">
        <v>169</v>
      </c>
      <c r="E90" s="81"/>
      <c r="F90" s="81"/>
      <c r="G90" s="81"/>
      <c r="H90" s="81"/>
      <c r="I90" s="81"/>
      <c r="J90" s="81"/>
      <c r="K90" s="81"/>
      <c r="L90" s="81"/>
      <c r="M90" s="81"/>
      <c r="N90" s="81"/>
      <c r="O90" s="81"/>
      <c r="P90" s="81"/>
      <c r="Q90" s="81"/>
      <c r="R90" s="81"/>
      <c r="S90" s="81"/>
      <c r="T90" s="81"/>
      <c r="U90" s="54"/>
      <c r="V90" s="54"/>
      <c r="W90" s="54"/>
      <c r="AB90" s="2" t="s">
        <v>165</v>
      </c>
      <c r="AC90" s="193"/>
      <c r="AD90" s="193"/>
      <c r="AE90" s="193"/>
      <c r="AF90" s="193"/>
      <c r="AG90" s="193"/>
      <c r="AR90" s="25"/>
      <c r="AS90" s="25"/>
      <c r="AT90" s="106"/>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row>
    <row r="91" spans="2:88" ht="15" customHeight="1" x14ac:dyDescent="0.3">
      <c r="AR91" s="25"/>
      <c r="AS91" s="25"/>
      <c r="AT91" s="106"/>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row>
    <row r="92" spans="2:88" ht="15" customHeight="1" x14ac:dyDescent="0.3">
      <c r="AR92" s="25"/>
      <c r="AS92" s="25"/>
      <c r="AT92" s="106"/>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row>
    <row r="93" spans="2:88" ht="15" customHeight="1" x14ac:dyDescent="0.3">
      <c r="AR93" s="25"/>
      <c r="AS93" s="25"/>
      <c r="AT93" s="106"/>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row>
    <row r="94" spans="2:88" ht="15" customHeight="1" x14ac:dyDescent="0.3">
      <c r="AR94" s="25"/>
      <c r="AS94" s="25"/>
      <c r="AT94" s="106"/>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row>
    <row r="95" spans="2:88" ht="15" customHeight="1" x14ac:dyDescent="0.3">
      <c r="AR95" s="25"/>
      <c r="AS95" s="25"/>
      <c r="AT95" s="106"/>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row>
    <row r="96" spans="2:88" ht="15" customHeight="1" x14ac:dyDescent="0.3">
      <c r="AR96" s="25"/>
      <c r="AS96" s="25"/>
      <c r="AT96" s="106"/>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row>
    <row r="97" spans="2:88" ht="15" customHeight="1" x14ac:dyDescent="0.3">
      <c r="AR97" s="25"/>
      <c r="AS97" s="25"/>
      <c r="AT97" s="106"/>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row>
    <row r="98" spans="2:88" ht="15" customHeight="1" x14ac:dyDescent="0.3">
      <c r="AR98" s="25"/>
      <c r="AS98" s="25"/>
      <c r="AT98" s="106"/>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row>
    <row r="99" spans="2:88" ht="15" customHeight="1" x14ac:dyDescent="0.3">
      <c r="AR99" s="25"/>
      <c r="AS99" s="25"/>
      <c r="AT99" s="106"/>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row>
    <row r="100" spans="2:88" ht="15" customHeight="1" x14ac:dyDescent="0.3">
      <c r="AR100" s="25"/>
      <c r="AS100" s="25"/>
      <c r="AT100" s="106"/>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row>
    <row r="101" spans="2:88" ht="15" customHeight="1" x14ac:dyDescent="0.3">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row>
    <row r="102" spans="2:88" ht="15" customHeight="1" x14ac:dyDescent="0.3">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row>
    <row r="103" spans="2:88" ht="15" customHeight="1" x14ac:dyDescent="0.3">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row>
    <row r="104" spans="2:88" ht="15" customHeight="1" x14ac:dyDescent="0.3">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row>
    <row r="105" spans="2:88" ht="15" customHeight="1" x14ac:dyDescent="0.3">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row>
    <row r="106" spans="2:88" ht="15" customHeight="1" x14ac:dyDescent="0.3">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row>
    <row r="107" spans="2:88" ht="15" customHeight="1" x14ac:dyDescent="0.3">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row>
    <row r="108" spans="2:88" ht="15" customHeight="1" x14ac:dyDescent="0.3">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row>
    <row r="109" spans="2:88" ht="15" customHeight="1" x14ac:dyDescent="0.3">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row>
    <row r="110" spans="2:88" ht="15" customHeight="1" x14ac:dyDescent="0.3">
      <c r="B110" s="179">
        <f>Tables!F13</f>
        <v>45931</v>
      </c>
      <c r="C110" s="179"/>
      <c r="D110" s="179"/>
      <c r="E110" s="179"/>
      <c r="F110" s="179"/>
      <c r="G110" s="179"/>
      <c r="H110" s="179"/>
      <c r="R110" s="180" t="s">
        <v>382</v>
      </c>
      <c r="S110" s="180"/>
      <c r="T110" s="180"/>
      <c r="U110" s="180"/>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row>
    <row r="111" spans="2:88" ht="15" customHeight="1" x14ac:dyDescent="0.3">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row>
    <row r="112" spans="2:88" ht="15" customHeight="1" x14ac:dyDescent="0.3">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row>
    <row r="113" spans="44:88" ht="15" customHeight="1" x14ac:dyDescent="0.3">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row>
  </sheetData>
  <sheetProtection algorithmName="SHA-512" hashValue="h3FOrx062ZrOTYlU8kWQphZkQWxVMYBJv4OHbSYqn/CqmHUaLcGibfVe6hU1sSp9fKj2jBeYi29F6Rd4pKvD2A==" saltValue="I3kyGWIdfhPB33BsvZa/Pg==" spinCount="100000" sheet="1" objects="1" scenarios="1" selectLockedCells="1"/>
  <mergeCells count="163">
    <mergeCell ref="T10:Y10"/>
    <mergeCell ref="N1:AK4"/>
    <mergeCell ref="AH12:AI12"/>
    <mergeCell ref="AE10:AJ10"/>
    <mergeCell ref="BD1:BZ4"/>
    <mergeCell ref="AR7:BF8"/>
    <mergeCell ref="E7:Y7"/>
    <mergeCell ref="AE7:AJ7"/>
    <mergeCell ref="E8:Y8"/>
    <mergeCell ref="T9:Y9"/>
    <mergeCell ref="F28:H28"/>
    <mergeCell ref="K28:M28"/>
    <mergeCell ref="N28:O28"/>
    <mergeCell ref="R28:T28"/>
    <mergeCell ref="U28:V28"/>
    <mergeCell ref="Y28:AA28"/>
    <mergeCell ref="AH14:AI14"/>
    <mergeCell ref="B23:D23"/>
    <mergeCell ref="F23:H23"/>
    <mergeCell ref="K23:M23"/>
    <mergeCell ref="R23:T23"/>
    <mergeCell ref="Y23:AA23"/>
    <mergeCell ref="F26:H26"/>
    <mergeCell ref="K26:M26"/>
    <mergeCell ref="N26:O26"/>
    <mergeCell ref="R26:T26"/>
    <mergeCell ref="U26:V26"/>
    <mergeCell ref="Y26:AA26"/>
    <mergeCell ref="F24:H24"/>
    <mergeCell ref="K24:M24"/>
    <mergeCell ref="N24:O24"/>
    <mergeCell ref="R24:T24"/>
    <mergeCell ref="U24:V24"/>
    <mergeCell ref="Y24:AA24"/>
    <mergeCell ref="F32:H32"/>
    <mergeCell ref="K32:M32"/>
    <mergeCell ref="N32:O32"/>
    <mergeCell ref="R32:T32"/>
    <mergeCell ref="U32:V32"/>
    <mergeCell ref="Y32:AA32"/>
    <mergeCell ref="F30:H30"/>
    <mergeCell ref="K30:M30"/>
    <mergeCell ref="N30:O30"/>
    <mergeCell ref="R30:T30"/>
    <mergeCell ref="U30:V30"/>
    <mergeCell ref="Y30:AA30"/>
    <mergeCell ref="F36:H36"/>
    <mergeCell ref="K36:M36"/>
    <mergeCell ref="N36:O36"/>
    <mergeCell ref="R36:T36"/>
    <mergeCell ref="U36:V36"/>
    <mergeCell ref="Y36:AA36"/>
    <mergeCell ref="F34:H34"/>
    <mergeCell ref="K34:M34"/>
    <mergeCell ref="N34:O34"/>
    <mergeCell ref="R34:T34"/>
    <mergeCell ref="U34:V34"/>
    <mergeCell ref="Y34:AA34"/>
    <mergeCell ref="F40:H40"/>
    <mergeCell ref="K40:M40"/>
    <mergeCell ref="N40:O40"/>
    <mergeCell ref="R40:T40"/>
    <mergeCell ref="U40:V40"/>
    <mergeCell ref="Y40:AA40"/>
    <mergeCell ref="F38:H38"/>
    <mergeCell ref="K38:M38"/>
    <mergeCell ref="N38:O38"/>
    <mergeCell ref="R38:T38"/>
    <mergeCell ref="U38:V38"/>
    <mergeCell ref="Y38:AA38"/>
    <mergeCell ref="F44:H44"/>
    <mergeCell ref="K44:M44"/>
    <mergeCell ref="N44:O44"/>
    <mergeCell ref="R44:T44"/>
    <mergeCell ref="U44:V44"/>
    <mergeCell ref="Y44:AA44"/>
    <mergeCell ref="F42:H42"/>
    <mergeCell ref="K42:M42"/>
    <mergeCell ref="N42:O42"/>
    <mergeCell ref="R42:T42"/>
    <mergeCell ref="U42:V42"/>
    <mergeCell ref="Y42:AA42"/>
    <mergeCell ref="U50:V50"/>
    <mergeCell ref="Y50:AA50"/>
    <mergeCell ref="F48:H48"/>
    <mergeCell ref="K48:M48"/>
    <mergeCell ref="N48:O48"/>
    <mergeCell ref="R48:T48"/>
    <mergeCell ref="U48:V48"/>
    <mergeCell ref="Y48:AA48"/>
    <mergeCell ref="F46:H46"/>
    <mergeCell ref="K46:M46"/>
    <mergeCell ref="N46:O46"/>
    <mergeCell ref="R46:T46"/>
    <mergeCell ref="U46:V46"/>
    <mergeCell ref="Y46:AA46"/>
    <mergeCell ref="B110:H110"/>
    <mergeCell ref="R110:U110"/>
    <mergeCell ref="E86:K86"/>
    <mergeCell ref="O86:R86"/>
    <mergeCell ref="W86:Y86"/>
    <mergeCell ref="E87:Y87"/>
    <mergeCell ref="E88:I88"/>
    <mergeCell ref="AC90:AG90"/>
    <mergeCell ref="D64:Y64"/>
    <mergeCell ref="AE64:AJ64"/>
    <mergeCell ref="B67:AJ76"/>
    <mergeCell ref="E83:Y83"/>
    <mergeCell ref="E84:Y84"/>
    <mergeCell ref="E85:Y85"/>
    <mergeCell ref="B63:H63"/>
    <mergeCell ref="R63:U63"/>
    <mergeCell ref="F52:H52"/>
    <mergeCell ref="K52:M52"/>
    <mergeCell ref="N52:O52"/>
    <mergeCell ref="R52:T52"/>
    <mergeCell ref="U52:V52"/>
    <mergeCell ref="Y52:AA52"/>
    <mergeCell ref="AB46:AC46"/>
    <mergeCell ref="AB48:AC48"/>
    <mergeCell ref="AB50:AC50"/>
    <mergeCell ref="AB52:AC52"/>
    <mergeCell ref="AB54:AC54"/>
    <mergeCell ref="R55:T55"/>
    <mergeCell ref="Y55:AA55"/>
    <mergeCell ref="K54:M54"/>
    <mergeCell ref="N54:O54"/>
    <mergeCell ref="R54:T54"/>
    <mergeCell ref="U54:V54"/>
    <mergeCell ref="Y54:AA54"/>
    <mergeCell ref="F50:H50"/>
    <mergeCell ref="K50:M50"/>
    <mergeCell ref="N50:O50"/>
    <mergeCell ref="R50:T50"/>
    <mergeCell ref="AB44:AC44"/>
    <mergeCell ref="K22:M22"/>
    <mergeCell ref="AB28:AC28"/>
    <mergeCell ref="AB30:AC30"/>
    <mergeCell ref="AB32:AC32"/>
    <mergeCell ref="AB34:AC34"/>
    <mergeCell ref="AB36:AC36"/>
    <mergeCell ref="AB38:AC38"/>
    <mergeCell ref="AB40:AC40"/>
    <mergeCell ref="AB42:AC42"/>
    <mergeCell ref="Y22:AA22"/>
    <mergeCell ref="R22:T22"/>
    <mergeCell ref="AB24:AC24"/>
    <mergeCell ref="AB26:AC26"/>
    <mergeCell ref="B42:D42"/>
    <mergeCell ref="B44:D44"/>
    <mergeCell ref="B46:D46"/>
    <mergeCell ref="B48:D48"/>
    <mergeCell ref="B50:D50"/>
    <mergeCell ref="B52:D52"/>
    <mergeCell ref="B24:D24"/>
    <mergeCell ref="B26:D26"/>
    <mergeCell ref="B28:D28"/>
    <mergeCell ref="B30:D30"/>
    <mergeCell ref="B32:D32"/>
    <mergeCell ref="B34:D34"/>
    <mergeCell ref="B36:D36"/>
    <mergeCell ref="B38:D38"/>
    <mergeCell ref="B40:D40"/>
  </mergeCells>
  <conditionalFormatting sqref="B16">
    <cfRule type="expression" dxfId="179" priority="55">
      <formula>$AN$16=2</formula>
    </cfRule>
    <cfRule type="expression" dxfId="178" priority="54">
      <formula>$AM$16=1</formula>
    </cfRule>
    <cfRule type="expression" dxfId="177" priority="53">
      <formula>$AP$16=3</formula>
    </cfRule>
  </conditionalFormatting>
  <conditionalFormatting sqref="B18">
    <cfRule type="expression" dxfId="176" priority="57">
      <formula>$AM$18=1</formula>
    </cfRule>
    <cfRule type="expression" dxfId="175" priority="56">
      <formula>$AP$18=3</formula>
    </cfRule>
    <cfRule type="expression" dxfId="174" priority="58">
      <formula>$AN$18=2</formula>
    </cfRule>
  </conditionalFormatting>
  <conditionalFormatting sqref="B20">
    <cfRule type="expression" dxfId="173" priority="61">
      <formula>$AN$20=2</formula>
    </cfRule>
    <cfRule type="expression" dxfId="172" priority="60">
      <formula>$AM$20=1</formula>
    </cfRule>
    <cfRule type="expression" dxfId="171" priority="59">
      <formula>$AP$20=3</formula>
    </cfRule>
  </conditionalFormatting>
  <conditionalFormatting sqref="B67:AJ76">
    <cfRule type="expression" dxfId="170" priority="52">
      <formula>$AM$67=2</formula>
    </cfRule>
    <cfRule type="cellIs" priority="51" stopIfTrue="1" operator="greaterThan">
      <formula>0</formula>
    </cfRule>
  </conditionalFormatting>
  <conditionalFormatting sqref="E16">
    <cfRule type="expression" dxfId="169" priority="63">
      <formula>$AP$16=3</formula>
    </cfRule>
    <cfRule type="expression" dxfId="168" priority="62">
      <formula>$AM$16=1</formula>
    </cfRule>
  </conditionalFormatting>
  <conditionalFormatting sqref="E18">
    <cfRule type="expression" dxfId="167" priority="65">
      <formula>$AP$18=3</formula>
    </cfRule>
    <cfRule type="expression" dxfId="166" priority="64">
      <formula>$AM$18=1</formula>
    </cfRule>
  </conditionalFormatting>
  <conditionalFormatting sqref="E20">
    <cfRule type="expression" dxfId="165" priority="67">
      <formula>$AP$20=3</formula>
    </cfRule>
    <cfRule type="expression" dxfId="164" priority="66">
      <formula>$AM$20=1</formula>
    </cfRule>
  </conditionalFormatting>
  <conditionalFormatting sqref="E83:E84">
    <cfRule type="expression" dxfId="163" priority="46">
      <formula>ISBLANK(E83)</formula>
    </cfRule>
  </conditionalFormatting>
  <conditionalFormatting sqref="E86:E88">
    <cfRule type="expression" dxfId="162" priority="41">
      <formula>ISBLANK(E86)</formula>
    </cfRule>
  </conditionalFormatting>
  <conditionalFormatting sqref="E7:Y8 T9:Y10">
    <cfRule type="cellIs" dxfId="161" priority="7" operator="equal">
      <formula>0</formula>
    </cfRule>
  </conditionalFormatting>
  <conditionalFormatting sqref="E85:Y85">
    <cfRule type="expression" dxfId="160" priority="44">
      <formula>ISBLANK(E85)</formula>
    </cfRule>
  </conditionalFormatting>
  <conditionalFormatting sqref="F10 I10">
    <cfRule type="expression" dxfId="159" priority="88">
      <formula>$AM$11=0</formula>
    </cfRule>
    <cfRule type="expression" dxfId="158" priority="87">
      <formula>$AP$11=3</formula>
    </cfRule>
  </conditionalFormatting>
  <conditionalFormatting sqref="F12">
    <cfRule type="expression" dxfId="157" priority="49">
      <formula>ISBLANK(F12)</formula>
    </cfRule>
  </conditionalFormatting>
  <conditionalFormatting sqref="F14">
    <cfRule type="expression" dxfId="156" priority="24">
      <formula>ISBLANK(F14)</formula>
    </cfRule>
  </conditionalFormatting>
  <conditionalFormatting sqref="F23:H23">
    <cfRule type="expression" dxfId="155" priority="32">
      <formula>$AO$14=3</formula>
    </cfRule>
    <cfRule type="expression" dxfId="154" priority="31">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53" priority="77">
      <formula>$AQ$11=1</formula>
    </cfRule>
    <cfRule type="expression" dxfId="152" priority="78">
      <formula>$AQ$11=2</formula>
    </cfRule>
  </conditionalFormatting>
  <conditionalFormatting sqref="K22:M22">
    <cfRule type="expression" dxfId="151" priority="9">
      <formula>$AO$14=3</formula>
    </cfRule>
    <cfRule type="expression" dxfId="150" priority="8">
      <formula>$AO$14=0</formula>
    </cfRule>
  </conditionalFormatting>
  <conditionalFormatting sqref="K54:M54">
    <cfRule type="expression" dxfId="149" priority="83">
      <formula>$AN$11=1</formula>
    </cfRule>
    <cfRule type="cellIs" dxfId="148" priority="86" operator="equal">
      <formula>0</formula>
    </cfRule>
    <cfRule type="cellIs" priority="85" stopIfTrue="1" operator="greaterThan">
      <formula>0</formula>
    </cfRule>
    <cfRule type="expression" dxfId="147" priority="84">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46" priority="82">
      <formula>$AQ$11=3</formula>
    </cfRule>
    <cfRule type="expression" dxfId="145" priority="81">
      <formula>$AM$11=0</formula>
    </cfRule>
  </conditionalFormatting>
  <conditionalFormatting sqref="O86">
    <cfRule type="expression" dxfId="144" priority="42">
      <formula>ISBLANK(O86)</formula>
    </cfRule>
  </conditionalFormatting>
  <conditionalFormatting sqref="R54">
    <cfRule type="cellIs" priority="33" stopIfTrue="1" operator="greaterThan">
      <formula>0</formula>
    </cfRule>
    <cfRule type="cellIs" dxfId="143" priority="34" operator="equal">
      <formula>0</formula>
    </cfRule>
  </conditionalFormatting>
  <conditionalFormatting sqref="R54:T54">
    <cfRule type="expression" dxfId="142" priority="26">
      <formula>$AQ$11=1</formula>
    </cfRule>
    <cfRule type="expression" dxfId="141" priority="25">
      <formula>$AQ$11=2</formula>
    </cfRule>
  </conditionalFormatting>
  <conditionalFormatting sqref="R55:T55">
    <cfRule type="cellIs" dxfId="140" priority="11" operator="equal">
      <formula>0</formula>
    </cfRule>
  </conditionalFormatting>
  <conditionalFormatting sqref="U54">
    <cfRule type="expression" dxfId="139" priority="29">
      <formula>$AM$11=0</formula>
    </cfRule>
    <cfRule type="expression" dxfId="138" priority="30">
      <formula>$AQ$11=3</formula>
    </cfRule>
  </conditionalFormatting>
  <conditionalFormatting sqref="V12 V14">
    <cfRule type="expression" dxfId="137" priority="70">
      <formula>$AP$12=3</formula>
    </cfRule>
    <cfRule type="expression" dxfId="136" priority="71">
      <formula>$AM$12=0</formula>
    </cfRule>
  </conditionalFormatting>
  <conditionalFormatting sqref="W86">
    <cfRule type="expression" dxfId="135" priority="43">
      <formula>ISBLANK(W86)</formula>
    </cfRule>
  </conditionalFormatting>
  <conditionalFormatting sqref="Y54">
    <cfRule type="cellIs" dxfId="134" priority="17" operator="equal">
      <formula>0</formula>
    </cfRule>
    <cfRule type="cellIs" priority="16" stopIfTrue="1" operator="greaterThan">
      <formula>0</formula>
    </cfRule>
  </conditionalFormatting>
  <conditionalFormatting sqref="Y54:AA54">
    <cfRule type="expression" dxfId="133" priority="12">
      <formula>$AQ$11=2</formula>
    </cfRule>
    <cfRule type="expression" dxfId="132" priority="13">
      <formula>$AQ$11=1</formula>
    </cfRule>
  </conditionalFormatting>
  <conditionalFormatting sqref="Y55:AA55">
    <cfRule type="cellIs" dxfId="131" priority="10" operator="equal">
      <formula>0</formula>
    </cfRule>
  </conditionalFormatting>
  <conditionalFormatting sqref="AB24">
    <cfRule type="expression" dxfId="130" priority="22">
      <formula>$AM$11=0</formula>
    </cfRule>
    <cfRule type="expression" dxfId="129" priority="23">
      <formula>$AQ$11=3</formula>
    </cfRule>
  </conditionalFormatting>
  <conditionalFormatting sqref="AB54">
    <cfRule type="expression" dxfId="128" priority="15">
      <formula>$AQ$11=3</formula>
    </cfRule>
    <cfRule type="expression" dxfId="127" priority="14">
      <formula>$AM$11=0</formula>
    </cfRule>
  </conditionalFormatting>
  <conditionalFormatting sqref="AC90">
    <cfRule type="expression" dxfId="126" priority="45">
      <formula>ISBLANK(AC90)</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25" priority="4">
      <formula>$AM24=2</formula>
    </cfRule>
  </conditionalFormatting>
  <conditionalFormatting sqref="AE7:AJ7 AE10:AJ10 D64">
    <cfRule type="cellIs" dxfId="124" priority="40" operator="equal">
      <formula>0</formula>
    </cfRule>
  </conditionalFormatting>
  <conditionalFormatting sqref="AE64:AJ64">
    <cfRule type="cellIs" dxfId="123" priority="39" operator="equal">
      <formula>0</formula>
    </cfRule>
  </conditionalFormatting>
  <conditionalFormatting sqref="AH12">
    <cfRule type="cellIs" priority="68" stopIfTrue="1" operator="greaterThan">
      <formula>0</formula>
    </cfRule>
    <cfRule type="expression" dxfId="122" priority="69">
      <formula>$AN$12=1</formula>
    </cfRule>
  </conditionalFormatting>
  <conditionalFormatting sqref="AH14">
    <cfRule type="cellIs" priority="72" stopIfTrue="1" operator="greaterThan">
      <formula>0</formula>
    </cfRule>
    <cfRule type="expression" dxfId="121" priority="73">
      <formula>$AO$12=1</formula>
    </cfRule>
  </conditionalFormatting>
  <conditionalFormatting sqref="AH24 AH26 AH28 AH30 AH32 AH34 AH36 AH38 AH40 AH42 AH44 AH46 AH48 AH50 AH52 AE24 AE26 AE28 AE30 AE32 AE34 AE36 AE38 AE40 AE42 AE44 AE46 AE48 AE50 AE52">
    <cfRule type="expression" dxfId="120" priority="2">
      <formula>$AP24=3</formula>
    </cfRule>
  </conditionalFormatting>
  <conditionalFormatting sqref="AH24 AH26 AH28 AH30 AH32 AH34 AH36 AH38 AH40 AH42 AH44 AH46 AH48 AH50 AH52">
    <cfRule type="expression" dxfId="119"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CD9BD503-B04B-4A30-9ED2-0E948AB653CA}">
          <x14:formula1>
            <xm:f>Tables!$B$8</xm:f>
          </x14:formula1>
          <xm:sqref>A8:AC8 AK8:AL8 E10:K10 E9:AL9 L10:AL11 B9:D22 A1:AL7 AE12:AL23 E12:AD1048576 A9:A1048576 B53:D1048576 AE53:AL1048576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D24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7" customWidth="1"/>
    <col min="39" max="39" width="10.33203125" style="21" hidden="1" customWidth="1"/>
    <col min="40" max="40" width="8.5546875" style="21" hidden="1" customWidth="1"/>
    <col min="41" max="41" width="9.109375" style="21" hidden="1" customWidth="1"/>
    <col min="42" max="44" width="7.21875" style="21" hidden="1" customWidth="1"/>
    <col min="45" max="45" width="15.77734375" style="21" hidden="1" customWidth="1"/>
    <col min="46" max="46" width="2.77734375" style="27" customWidth="1"/>
    <col min="47" max="47" width="2.77734375" style="22" customWidth="1"/>
    <col min="48" max="82" width="2.77734375" style="27" customWidth="1"/>
    <col min="83" max="16384" width="2.77734375" style="27" hidden="1"/>
  </cols>
  <sheetData>
    <row r="1" spans="1:81" ht="15" customHeight="1" x14ac:dyDescent="0.3">
      <c r="N1" s="3"/>
      <c r="O1" s="3"/>
      <c r="P1" s="3"/>
      <c r="Q1" s="3"/>
      <c r="R1" s="23"/>
      <c r="S1" s="192" t="s">
        <v>214</v>
      </c>
      <c r="T1" s="192"/>
      <c r="U1" s="192"/>
      <c r="V1" s="192"/>
      <c r="W1" s="192"/>
      <c r="X1" s="192"/>
      <c r="Y1" s="192"/>
      <c r="Z1" s="192"/>
      <c r="AA1" s="192"/>
      <c r="AB1" s="192"/>
      <c r="AC1" s="192"/>
      <c r="AD1" s="192"/>
      <c r="AE1" s="192"/>
      <c r="AF1" s="192"/>
      <c r="AG1" s="192"/>
      <c r="AH1" s="192"/>
      <c r="AI1" s="192"/>
      <c r="AJ1" s="192"/>
      <c r="AK1" s="192"/>
      <c r="AL1" s="192"/>
      <c r="BB1" s="23"/>
      <c r="BC1" s="23"/>
      <c r="BD1" s="23"/>
      <c r="BE1" s="23"/>
      <c r="BF1" s="23"/>
      <c r="BG1" s="23"/>
      <c r="BH1" s="23"/>
      <c r="BI1" s="23"/>
      <c r="BJ1" s="23"/>
      <c r="BK1" s="192" t="str">
        <f>S1</f>
        <v>Form 3D - Bioretention Area
As-Built Certification Form</v>
      </c>
      <c r="BL1" s="192"/>
      <c r="BM1" s="192"/>
      <c r="BN1" s="192"/>
      <c r="BO1" s="192"/>
      <c r="BP1" s="192"/>
      <c r="BQ1" s="192"/>
      <c r="BR1" s="192"/>
      <c r="BS1" s="192"/>
      <c r="BT1" s="192"/>
      <c r="BU1" s="192"/>
      <c r="BV1" s="192"/>
      <c r="BW1" s="192"/>
      <c r="BX1" s="192"/>
      <c r="BY1" s="192"/>
      <c r="BZ1" s="192"/>
      <c r="CA1" s="192"/>
      <c r="CB1" s="192"/>
      <c r="CC1" s="192"/>
    </row>
    <row r="2" spans="1:81" ht="15" customHeight="1" x14ac:dyDescent="0.3">
      <c r="J2" s="3"/>
      <c r="K2" s="3"/>
      <c r="L2" s="3"/>
      <c r="M2" s="3"/>
      <c r="N2" s="3"/>
      <c r="O2" s="3"/>
      <c r="P2" s="3"/>
      <c r="Q2" s="3"/>
      <c r="R2" s="23"/>
      <c r="S2" s="192"/>
      <c r="T2" s="192"/>
      <c r="U2" s="192"/>
      <c r="V2" s="192"/>
      <c r="W2" s="192"/>
      <c r="X2" s="192"/>
      <c r="Y2" s="192"/>
      <c r="Z2" s="192"/>
      <c r="AA2" s="192"/>
      <c r="AB2" s="192"/>
      <c r="AC2" s="192"/>
      <c r="AD2" s="192"/>
      <c r="AE2" s="192"/>
      <c r="AF2" s="192"/>
      <c r="AG2" s="192"/>
      <c r="AH2" s="192"/>
      <c r="AI2" s="192"/>
      <c r="AJ2" s="192"/>
      <c r="AK2" s="192"/>
      <c r="AL2" s="192"/>
      <c r="BA2" s="23"/>
      <c r="BB2" s="23"/>
      <c r="BC2" s="23"/>
      <c r="BD2" s="23"/>
      <c r="BE2" s="23"/>
      <c r="BF2" s="23"/>
      <c r="BG2" s="23"/>
      <c r="BH2" s="23"/>
      <c r="BI2" s="23"/>
      <c r="BJ2" s="23"/>
      <c r="BK2" s="192"/>
      <c r="BL2" s="192"/>
      <c r="BM2" s="192"/>
      <c r="BN2" s="192"/>
      <c r="BO2" s="192"/>
      <c r="BP2" s="192"/>
      <c r="BQ2" s="192"/>
      <c r="BR2" s="192"/>
      <c r="BS2" s="192"/>
      <c r="BT2" s="192"/>
      <c r="BU2" s="192"/>
      <c r="BV2" s="192"/>
      <c r="BW2" s="192"/>
      <c r="BX2" s="192"/>
      <c r="BY2" s="192"/>
      <c r="BZ2" s="192"/>
      <c r="CA2" s="192"/>
      <c r="CB2" s="192"/>
      <c r="CC2" s="192"/>
    </row>
    <row r="3" spans="1:81" ht="15" customHeight="1" x14ac:dyDescent="0.3">
      <c r="J3" s="3"/>
      <c r="K3" s="3"/>
      <c r="L3" s="3"/>
      <c r="M3" s="3"/>
      <c r="N3" s="3"/>
      <c r="O3" s="3"/>
      <c r="P3" s="3"/>
      <c r="Q3" s="3"/>
      <c r="R3" s="23"/>
      <c r="S3" s="192"/>
      <c r="T3" s="192"/>
      <c r="U3" s="192"/>
      <c r="V3" s="192"/>
      <c r="W3" s="192"/>
      <c r="X3" s="192"/>
      <c r="Y3" s="192"/>
      <c r="Z3" s="192"/>
      <c r="AA3" s="192"/>
      <c r="AB3" s="192"/>
      <c r="AC3" s="192"/>
      <c r="AD3" s="192"/>
      <c r="AE3" s="192"/>
      <c r="AF3" s="192"/>
      <c r="AG3" s="192"/>
      <c r="AH3" s="192"/>
      <c r="AI3" s="192"/>
      <c r="AJ3" s="192"/>
      <c r="AK3" s="192"/>
      <c r="AL3" s="192"/>
      <c r="BA3" s="23"/>
      <c r="BB3" s="23"/>
      <c r="BC3" s="23"/>
      <c r="BD3" s="23"/>
      <c r="BE3" s="23"/>
      <c r="BF3" s="23"/>
      <c r="BG3" s="23"/>
      <c r="BH3" s="23"/>
      <c r="BI3" s="23"/>
      <c r="BJ3" s="23"/>
      <c r="BK3" s="192"/>
      <c r="BL3" s="192"/>
      <c r="BM3" s="192"/>
      <c r="BN3" s="192"/>
      <c r="BO3" s="192"/>
      <c r="BP3" s="192"/>
      <c r="BQ3" s="192"/>
      <c r="BR3" s="192"/>
      <c r="BS3" s="192"/>
      <c r="BT3" s="192"/>
      <c r="BU3" s="192"/>
      <c r="BV3" s="192"/>
      <c r="BW3" s="192"/>
      <c r="BX3" s="192"/>
      <c r="BY3" s="192"/>
      <c r="BZ3" s="192"/>
      <c r="CA3" s="192"/>
      <c r="CB3" s="192"/>
      <c r="CC3" s="192"/>
    </row>
    <row r="4" spans="1:81" ht="15" customHeight="1" x14ac:dyDescent="0.3">
      <c r="J4" s="3"/>
      <c r="K4" s="3"/>
      <c r="L4" s="3"/>
      <c r="M4" s="3"/>
      <c r="N4" s="3"/>
      <c r="O4" s="3"/>
      <c r="P4" s="3"/>
      <c r="Q4" s="3"/>
      <c r="R4" s="23"/>
      <c r="S4" s="192"/>
      <c r="T4" s="192"/>
      <c r="U4" s="192"/>
      <c r="V4" s="192"/>
      <c r="W4" s="192"/>
      <c r="X4" s="192"/>
      <c r="Y4" s="192"/>
      <c r="Z4" s="192"/>
      <c r="AA4" s="192"/>
      <c r="AB4" s="192"/>
      <c r="AC4" s="192"/>
      <c r="AD4" s="192"/>
      <c r="AE4" s="192"/>
      <c r="AF4" s="192"/>
      <c r="AG4" s="192"/>
      <c r="AH4" s="192"/>
      <c r="AI4" s="192"/>
      <c r="AJ4" s="192"/>
      <c r="AK4" s="192"/>
      <c r="AL4" s="192"/>
      <c r="BA4" s="23"/>
      <c r="BB4" s="23"/>
      <c r="BC4" s="23"/>
      <c r="BD4" s="23"/>
      <c r="BE4" s="23"/>
      <c r="BF4" s="23"/>
      <c r="BG4" s="23"/>
      <c r="BH4" s="23"/>
      <c r="BI4" s="23"/>
      <c r="BJ4" s="23"/>
      <c r="BK4" s="192"/>
      <c r="BL4" s="192"/>
      <c r="BM4" s="192"/>
      <c r="BN4" s="192"/>
      <c r="BO4" s="192"/>
      <c r="BP4" s="192"/>
      <c r="BQ4" s="192"/>
      <c r="BR4" s="192"/>
      <c r="BS4" s="192"/>
      <c r="BT4" s="192"/>
      <c r="BU4" s="192"/>
      <c r="BV4" s="192"/>
      <c r="BW4" s="192"/>
      <c r="BX4" s="192"/>
      <c r="BY4" s="192"/>
      <c r="BZ4" s="192"/>
      <c r="CA4" s="192"/>
      <c r="CB4" s="192"/>
      <c r="CC4" s="192"/>
    </row>
    <row r="5" spans="1:81" ht="4.95" customHeight="1" x14ac:dyDescent="0.3">
      <c r="J5" s="3"/>
      <c r="K5" s="3"/>
      <c r="L5" s="3"/>
      <c r="M5" s="3"/>
      <c r="N5" s="3"/>
      <c r="O5" s="3"/>
      <c r="P5" s="3"/>
      <c r="Q5" s="3"/>
      <c r="R5" s="24"/>
      <c r="S5" s="24"/>
      <c r="T5" s="24"/>
      <c r="U5" s="24"/>
      <c r="V5" s="24"/>
      <c r="W5" s="24"/>
      <c r="X5" s="24"/>
      <c r="Y5" s="24"/>
      <c r="Z5" s="24"/>
      <c r="AA5" s="24"/>
      <c r="AB5" s="24"/>
      <c r="AC5" s="24"/>
      <c r="AD5" s="24"/>
      <c r="AE5" s="24"/>
      <c r="AF5" s="24"/>
      <c r="AG5" s="24"/>
      <c r="AH5" s="24"/>
      <c r="AI5" s="24"/>
      <c r="AJ5" s="24"/>
      <c r="AK5" s="24"/>
    </row>
    <row r="6" spans="1:81" ht="15" customHeight="1" x14ac:dyDescent="0.3">
      <c r="A6" s="1" t="s">
        <v>0</v>
      </c>
      <c r="C6" s="1"/>
      <c r="D6" s="1"/>
      <c r="E6" s="1"/>
      <c r="F6" s="1"/>
      <c r="G6" s="1"/>
      <c r="H6" s="1"/>
      <c r="I6" s="1"/>
      <c r="AD6" s="2" t="s">
        <v>449</v>
      </c>
      <c r="AE6" s="264">
        <f>'Form 2D - Design'!AD6</f>
        <v>0</v>
      </c>
      <c r="AF6" s="264"/>
      <c r="AG6" s="264"/>
      <c r="AH6" s="264"/>
      <c r="AI6" s="264"/>
      <c r="AJ6" s="264"/>
      <c r="AK6" s="264"/>
      <c r="AM6" s="93">
        <f>LEN(AE6)</f>
        <v>1</v>
      </c>
      <c r="AU6" s="181" t="s">
        <v>68</v>
      </c>
      <c r="AV6" s="181"/>
      <c r="AW6" s="181"/>
      <c r="AX6" s="181"/>
      <c r="AY6" s="181"/>
      <c r="AZ6" s="181"/>
      <c r="BA6" s="181"/>
      <c r="BB6" s="181"/>
      <c r="BC6" s="181"/>
      <c r="BD6" s="181"/>
      <c r="BE6" s="181"/>
      <c r="BF6" s="181"/>
    </row>
    <row r="7" spans="1:81" ht="15" customHeight="1" x14ac:dyDescent="0.3">
      <c r="C7" s="2"/>
      <c r="D7" s="2" t="s">
        <v>1</v>
      </c>
      <c r="E7" s="182">
        <f>'Form 2D - Design'!$E$7</f>
        <v>0</v>
      </c>
      <c r="F7" s="182"/>
      <c r="G7" s="182"/>
      <c r="H7" s="182"/>
      <c r="I7" s="182"/>
      <c r="J7" s="182"/>
      <c r="K7" s="182"/>
      <c r="L7" s="182"/>
      <c r="M7" s="182"/>
      <c r="N7" s="182"/>
      <c r="O7" s="182"/>
      <c r="P7" s="182"/>
      <c r="Q7" s="182"/>
      <c r="R7" s="182"/>
      <c r="S7" s="182"/>
      <c r="T7" s="182"/>
      <c r="U7" s="182"/>
      <c r="V7" s="182"/>
      <c r="W7" s="182"/>
      <c r="X7" s="182"/>
      <c r="Y7" s="182"/>
      <c r="Z7" s="182"/>
      <c r="AE7" s="2" t="s">
        <v>21</v>
      </c>
      <c r="AF7" s="250"/>
      <c r="AG7" s="250"/>
      <c r="AH7" s="250"/>
      <c r="AI7" s="250"/>
      <c r="AJ7" s="250"/>
      <c r="AK7" s="250"/>
      <c r="AU7" s="181"/>
      <c r="AV7" s="181"/>
      <c r="AW7" s="181"/>
      <c r="AX7" s="181"/>
      <c r="AY7" s="181"/>
      <c r="AZ7" s="181"/>
      <c r="BA7" s="181"/>
      <c r="BB7" s="181"/>
      <c r="BC7" s="181"/>
      <c r="BD7" s="181"/>
      <c r="BE7" s="181"/>
      <c r="BF7" s="181"/>
    </row>
    <row r="8" spans="1:81" ht="15" customHeight="1" x14ac:dyDescent="0.3">
      <c r="C8" s="2"/>
      <c r="D8" s="2" t="s">
        <v>20</v>
      </c>
      <c r="E8" s="248">
        <f>'Form 2D - Design'!$E$8</f>
        <v>0</v>
      </c>
      <c r="F8" s="248"/>
      <c r="G8" s="248"/>
      <c r="H8" s="248"/>
      <c r="I8" s="248"/>
      <c r="J8" s="248"/>
      <c r="K8" s="248"/>
      <c r="L8" s="248"/>
      <c r="M8" s="248"/>
      <c r="N8" s="248"/>
      <c r="O8" s="248"/>
      <c r="P8" s="248"/>
      <c r="Q8" s="248"/>
      <c r="R8" s="248"/>
      <c r="S8" s="248"/>
      <c r="T8" s="248"/>
      <c r="U8" s="248"/>
      <c r="V8" s="248"/>
      <c r="W8" s="248"/>
      <c r="X8" s="248"/>
      <c r="Y8" s="248"/>
      <c r="Z8" s="248"/>
      <c r="AE8" s="2" t="s">
        <v>34</v>
      </c>
      <c r="AF8" s="184">
        <f>'Form 2D - Design'!AE8</f>
        <v>0</v>
      </c>
      <c r="AG8" s="184"/>
      <c r="AH8" s="184"/>
      <c r="AI8" s="184"/>
      <c r="AJ8" s="184"/>
      <c r="AK8" s="184"/>
      <c r="AU8" s="22">
        <v>1</v>
      </c>
      <c r="AV8" s="88" t="s">
        <v>91</v>
      </c>
      <c r="BA8" s="86"/>
      <c r="BB8" s="61"/>
      <c r="BC8" s="61"/>
      <c r="BD8" s="61"/>
      <c r="BE8" s="61"/>
      <c r="BF8" s="61"/>
    </row>
    <row r="9" spans="1:81" ht="4.95" customHeight="1" x14ac:dyDescent="0.3">
      <c r="H9" s="2"/>
      <c r="I9" s="2"/>
      <c r="AY9" s="86"/>
      <c r="AZ9" s="86"/>
      <c r="BB9" s="26"/>
      <c r="BC9" s="26"/>
      <c r="BD9" s="26"/>
      <c r="BE9" s="26"/>
      <c r="BF9" s="26"/>
    </row>
    <row r="10" spans="1:81" ht="15" customHeight="1" x14ac:dyDescent="0.3">
      <c r="B10" s="27" t="s">
        <v>118</v>
      </c>
      <c r="G10" s="56"/>
      <c r="H10" s="27" t="s">
        <v>115</v>
      </c>
      <c r="N10" s="56"/>
      <c r="O10" s="27" t="s">
        <v>116</v>
      </c>
      <c r="W10" s="4"/>
      <c r="X10" s="4"/>
      <c r="Y10" s="4"/>
      <c r="Z10" s="56"/>
      <c r="AA10" s="27" t="str">
        <f>Tables!F24</f>
        <v xml:space="preserve"> O&amp;M Agreement</v>
      </c>
      <c r="AH10" s="56"/>
      <c r="AI10" s="27" t="s">
        <v>119</v>
      </c>
      <c r="AV10" s="4" t="s">
        <v>93</v>
      </c>
      <c r="AW10" s="88" t="s">
        <v>267</v>
      </c>
      <c r="AX10" s="86"/>
      <c r="AY10" s="86"/>
      <c r="AZ10" s="86"/>
      <c r="BB10" s="26"/>
      <c r="BC10" s="26"/>
      <c r="BD10" s="26"/>
      <c r="BE10" s="26"/>
      <c r="BF10" s="26"/>
    </row>
    <row r="11" spans="1:81" ht="15" customHeight="1" x14ac:dyDescent="0.3">
      <c r="AV11" s="4" t="s">
        <v>94</v>
      </c>
      <c r="AW11" s="88" t="s">
        <v>92</v>
      </c>
      <c r="BB11" s="26"/>
      <c r="BC11" s="26"/>
      <c r="BD11" s="26"/>
      <c r="BE11" s="26"/>
      <c r="BF11" s="26"/>
    </row>
    <row r="12" spans="1:81" ht="15" customHeight="1" x14ac:dyDescent="0.3">
      <c r="A12" s="245" t="s">
        <v>217</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U12" s="22">
        <v>2</v>
      </c>
      <c r="AV12" s="88" t="s">
        <v>471</v>
      </c>
      <c r="BA12" s="86"/>
      <c r="BB12" s="61"/>
      <c r="BC12" s="61"/>
      <c r="BD12" s="61"/>
      <c r="BE12" s="61"/>
      <c r="BF12" s="61"/>
    </row>
    <row r="13" spans="1:81" ht="15" customHeight="1" x14ac:dyDescent="0.3">
      <c r="B13" s="1" t="s">
        <v>56</v>
      </c>
      <c r="C13" s="1"/>
      <c r="D13" s="1"/>
      <c r="E13" s="1"/>
      <c r="F13" s="1"/>
      <c r="G13" s="1"/>
      <c r="I13" s="1"/>
      <c r="J13" s="1"/>
      <c r="K13" s="1"/>
      <c r="L13" s="1"/>
      <c r="M13" s="1"/>
      <c r="N13" s="1"/>
      <c r="O13" s="1"/>
      <c r="P13" s="1"/>
      <c r="Q13" s="1"/>
      <c r="R13" s="1"/>
      <c r="S13" s="78"/>
      <c r="U13" s="1" t="s">
        <v>57</v>
      </c>
      <c r="V13" s="1"/>
      <c r="W13" s="1"/>
      <c r="X13" s="1"/>
      <c r="Y13" s="1"/>
      <c r="Z13" s="1"/>
      <c r="AA13" s="1"/>
      <c r="AB13" s="1"/>
      <c r="AD13" s="1"/>
      <c r="AE13" s="1"/>
      <c r="AF13" s="1"/>
      <c r="AG13" s="1"/>
      <c r="AI13" s="55"/>
      <c r="AJ13" s="55"/>
      <c r="AV13" s="4" t="s">
        <v>93</v>
      </c>
      <c r="AW13" s="86" t="s">
        <v>320</v>
      </c>
      <c r="AX13" s="86"/>
      <c r="BA13" s="86"/>
      <c r="BB13" s="61"/>
      <c r="BC13" s="61"/>
      <c r="BD13" s="61"/>
      <c r="BE13" s="61"/>
      <c r="BF13" s="61"/>
    </row>
    <row r="14" spans="1:81" ht="14.55" customHeight="1" x14ac:dyDescent="0.3">
      <c r="M14" s="2" t="s">
        <v>191</v>
      </c>
      <c r="N14" s="251">
        <f>'Form 2D - Design'!L61</f>
        <v>0</v>
      </c>
      <c r="O14" s="251"/>
      <c r="P14" s="251"/>
      <c r="Q14" s="27" t="s">
        <v>192</v>
      </c>
      <c r="S14" s="78"/>
      <c r="AF14" s="2" t="s">
        <v>191</v>
      </c>
      <c r="AG14" s="185"/>
      <c r="AH14" s="185"/>
      <c r="AI14" s="185"/>
      <c r="AJ14" s="27" t="s">
        <v>192</v>
      </c>
      <c r="AW14" s="86" t="s">
        <v>321</v>
      </c>
      <c r="AX14" s="86"/>
      <c r="AY14" s="86"/>
      <c r="AZ14" s="86"/>
      <c r="BA14" s="54"/>
      <c r="BB14" s="60"/>
      <c r="BC14" s="60"/>
      <c r="BD14" s="60"/>
      <c r="BE14" s="60"/>
      <c r="BF14" s="60"/>
    </row>
    <row r="15" spans="1:81" ht="14.55" customHeight="1" x14ac:dyDescent="0.3">
      <c r="M15" s="2" t="s">
        <v>190</v>
      </c>
      <c r="N15" s="246">
        <f>'Form 2D - Design'!T63</f>
        <v>0</v>
      </c>
      <c r="O15" s="246"/>
      <c r="P15" s="246"/>
      <c r="Q15" s="27" t="s">
        <v>43</v>
      </c>
      <c r="S15" s="78"/>
      <c r="AF15" s="2" t="s">
        <v>190</v>
      </c>
      <c r="AG15" s="186"/>
      <c r="AH15" s="186"/>
      <c r="AI15" s="186"/>
      <c r="AJ15" s="27" t="s">
        <v>43</v>
      </c>
      <c r="AV15" s="4" t="s">
        <v>94</v>
      </c>
      <c r="AW15" s="88" t="s">
        <v>98</v>
      </c>
      <c r="AY15" s="86"/>
      <c r="AZ15" s="86"/>
      <c r="BA15" s="54"/>
      <c r="BB15" s="60"/>
      <c r="BC15" s="60"/>
      <c r="BD15" s="60"/>
      <c r="BE15" s="60"/>
      <c r="BF15" s="60"/>
    </row>
    <row r="16" spans="1:81" ht="4.95" customHeight="1" x14ac:dyDescent="0.3">
      <c r="S16" s="78"/>
      <c r="AX16" s="54"/>
      <c r="AY16" s="54"/>
      <c r="AZ16" s="54"/>
      <c r="BA16" s="72"/>
      <c r="BB16" s="75"/>
      <c r="BC16" s="75"/>
      <c r="BD16" s="75"/>
      <c r="BE16" s="75"/>
      <c r="BF16" s="75"/>
    </row>
    <row r="17" spans="2:58" ht="14.55" customHeight="1" x14ac:dyDescent="0.3">
      <c r="M17" s="2" t="s">
        <v>259</v>
      </c>
      <c r="N17" s="103">
        <f>'Form 2D - Design'!AE61</f>
        <v>0</v>
      </c>
      <c r="O17" s="27" t="s">
        <v>120</v>
      </c>
      <c r="P17" s="2"/>
      <c r="Q17" s="103">
        <f>'Form 2D - Design'!AH61</f>
        <v>0</v>
      </c>
      <c r="R17" s="27" t="s">
        <v>121</v>
      </c>
      <c r="S17" s="78"/>
      <c r="AF17" s="2" t="s">
        <v>259</v>
      </c>
      <c r="AG17" s="56"/>
      <c r="AH17" s="27" t="s">
        <v>120</v>
      </c>
      <c r="AI17" s="2"/>
      <c r="AJ17" s="56"/>
      <c r="AK17" s="27" t="s">
        <v>121</v>
      </c>
      <c r="AM17" s="93">
        <f>IF(AND(ISBLANK(AG17),ISBLANK(AJ17)),1,2)</f>
        <v>1</v>
      </c>
      <c r="AV17" s="4" t="s">
        <v>105</v>
      </c>
      <c r="AW17" s="86" t="s">
        <v>322</v>
      </c>
      <c r="AX17" s="54"/>
      <c r="AY17" s="54"/>
      <c r="AZ17" s="54"/>
      <c r="BB17" s="26"/>
      <c r="BC17" s="26"/>
      <c r="BD17" s="26"/>
      <c r="BE17" s="26"/>
      <c r="BF17" s="26"/>
    </row>
    <row r="18" spans="2:58" ht="4.95" customHeight="1" x14ac:dyDescent="0.3">
      <c r="S18" s="78"/>
      <c r="AI18" s="10"/>
      <c r="AJ18" s="10"/>
      <c r="AW18" s="72"/>
      <c r="AX18" s="72"/>
      <c r="AY18" s="72"/>
      <c r="AZ18" s="72"/>
      <c r="BB18" s="26"/>
      <c r="BC18" s="26"/>
      <c r="BD18" s="26"/>
      <c r="BE18" s="26"/>
      <c r="BF18" s="26"/>
    </row>
    <row r="19" spans="2:58" ht="14.55" customHeight="1" x14ac:dyDescent="0.3">
      <c r="E19" s="2" t="s">
        <v>194</v>
      </c>
      <c r="F19" s="103">
        <f>'Form 2D - Design'!H65</f>
        <v>0</v>
      </c>
      <c r="G19" s="27" t="s">
        <v>120</v>
      </c>
      <c r="H19" s="2"/>
      <c r="I19" s="103">
        <f>'Form 2D - Design'!K65</f>
        <v>0</v>
      </c>
      <c r="J19" s="27" t="s">
        <v>121</v>
      </c>
      <c r="M19" s="2" t="s">
        <v>193</v>
      </c>
      <c r="N19" s="234">
        <f>'Form 2D - Design'!P65</f>
        <v>0</v>
      </c>
      <c r="O19" s="234"/>
      <c r="P19" s="234"/>
      <c r="Q19" s="234"/>
      <c r="R19" s="234"/>
      <c r="S19" s="78"/>
      <c r="X19" s="2" t="s">
        <v>194</v>
      </c>
      <c r="Y19" s="56"/>
      <c r="Z19" s="27" t="s">
        <v>120</v>
      </c>
      <c r="AA19" s="2"/>
      <c r="AB19" s="56"/>
      <c r="AC19" s="27" t="s">
        <v>121</v>
      </c>
      <c r="AF19" s="2" t="s">
        <v>193</v>
      </c>
      <c r="AG19" s="188"/>
      <c r="AH19" s="188"/>
      <c r="AI19" s="188"/>
      <c r="AJ19" s="188"/>
      <c r="AK19" s="188"/>
      <c r="AM19" s="93">
        <f>IF(AND(ISBLANK(Y19),ISBLANK(AB19)),1,2)</f>
        <v>1</v>
      </c>
      <c r="AN19" s="93">
        <f>IF(ISBLANK(Y19),1,2)</f>
        <v>1</v>
      </c>
      <c r="AU19" s="27"/>
      <c r="AW19" s="86" t="s">
        <v>323</v>
      </c>
      <c r="BA19" s="91"/>
      <c r="BB19" s="77"/>
      <c r="BC19" s="77"/>
      <c r="BD19" s="77"/>
      <c r="BE19" s="77"/>
      <c r="BF19" s="77"/>
    </row>
    <row r="20" spans="2:58" ht="4.95" customHeight="1" x14ac:dyDescent="0.3">
      <c r="S20" s="78"/>
      <c r="AI20" s="10"/>
      <c r="AJ20" s="10"/>
      <c r="BA20" s="91"/>
      <c r="BB20" s="77"/>
      <c r="BC20" s="77"/>
      <c r="BD20" s="77"/>
      <c r="BE20" s="77"/>
      <c r="BF20" s="77"/>
    </row>
    <row r="21" spans="2:58" ht="14.55" customHeight="1" x14ac:dyDescent="0.3">
      <c r="B21" s="73" t="s">
        <v>203</v>
      </c>
      <c r="J21" s="4" t="s">
        <v>195</v>
      </c>
      <c r="N21" s="27" t="s">
        <v>196</v>
      </c>
      <c r="S21" s="78"/>
      <c r="U21" s="73" t="s">
        <v>203</v>
      </c>
      <c r="AC21" s="4" t="s">
        <v>195</v>
      </c>
      <c r="AG21" s="27" t="s">
        <v>196</v>
      </c>
      <c r="AV21" s="4" t="s">
        <v>106</v>
      </c>
      <c r="AW21" s="88" t="s">
        <v>99</v>
      </c>
      <c r="AY21" s="91"/>
      <c r="AZ21" s="91"/>
      <c r="BA21" s="86"/>
      <c r="BB21" s="61"/>
      <c r="BC21" s="61"/>
      <c r="BD21" s="61"/>
      <c r="BE21" s="61"/>
      <c r="BF21" s="61"/>
    </row>
    <row r="22" spans="2:58" ht="14.55" customHeight="1" x14ac:dyDescent="0.3">
      <c r="H22" s="2" t="s">
        <v>222</v>
      </c>
      <c r="I22" s="251">
        <f>'Form 2D - Design'!M68</f>
        <v>0</v>
      </c>
      <c r="J22" s="257"/>
      <c r="K22" s="257"/>
      <c r="L22" s="27" t="s">
        <v>42</v>
      </c>
      <c r="N22" s="251">
        <f>'Form 2D - Design'!R68</f>
        <v>0</v>
      </c>
      <c r="O22" s="257"/>
      <c r="P22" s="257"/>
      <c r="Q22" s="27" t="s">
        <v>43</v>
      </c>
      <c r="S22" s="78"/>
      <c r="AA22" s="2" t="s">
        <v>222</v>
      </c>
      <c r="AB22" s="185"/>
      <c r="AC22" s="185"/>
      <c r="AD22" s="185"/>
      <c r="AE22" s="27" t="s">
        <v>42</v>
      </c>
      <c r="AG22" s="185"/>
      <c r="AH22" s="185"/>
      <c r="AI22" s="185"/>
      <c r="AJ22" s="27" t="s">
        <v>43</v>
      </c>
      <c r="AV22" s="4" t="s">
        <v>104</v>
      </c>
      <c r="AW22" s="27" t="s">
        <v>470</v>
      </c>
      <c r="AY22" s="91"/>
      <c r="AZ22" s="91"/>
      <c r="BA22" s="86"/>
      <c r="BB22" s="61"/>
      <c r="BC22" s="61"/>
      <c r="BD22" s="61"/>
      <c r="BE22" s="61"/>
      <c r="BF22" s="61"/>
    </row>
    <row r="23" spans="2:58" ht="14.55" customHeight="1" x14ac:dyDescent="0.3">
      <c r="H23" s="2" t="s">
        <v>223</v>
      </c>
      <c r="I23" s="251">
        <f>'Form 2D - Design'!M69</f>
        <v>0</v>
      </c>
      <c r="J23" s="257"/>
      <c r="K23" s="257"/>
      <c r="L23" s="27" t="s">
        <v>42</v>
      </c>
      <c r="N23" s="251">
        <f>'Form 2D - Design'!R69</f>
        <v>0</v>
      </c>
      <c r="O23" s="257"/>
      <c r="P23" s="257"/>
      <c r="Q23" s="27" t="s">
        <v>43</v>
      </c>
      <c r="S23" s="78"/>
      <c r="AA23" s="2" t="s">
        <v>223</v>
      </c>
      <c r="AB23" s="186"/>
      <c r="AC23" s="186"/>
      <c r="AD23" s="186"/>
      <c r="AE23" s="27" t="s">
        <v>42</v>
      </c>
      <c r="AG23" s="186"/>
      <c r="AH23" s="186"/>
      <c r="AI23" s="186"/>
      <c r="AJ23" s="27" t="s">
        <v>43</v>
      </c>
      <c r="AU23" s="22">
        <v>3</v>
      </c>
      <c r="AV23" s="88" t="s">
        <v>95</v>
      </c>
      <c r="AY23" s="86"/>
      <c r="AZ23" s="86"/>
      <c r="BA23" s="54"/>
      <c r="BB23" s="60"/>
      <c r="BC23" s="60"/>
      <c r="BD23" s="60"/>
      <c r="BE23" s="60"/>
      <c r="BF23" s="60"/>
    </row>
    <row r="24" spans="2:58" ht="14.55" customHeight="1" x14ac:dyDescent="0.3">
      <c r="H24" s="2" t="s">
        <v>224</v>
      </c>
      <c r="I24" s="251">
        <f>'Form 2D - Design'!M70</f>
        <v>0</v>
      </c>
      <c r="J24" s="257"/>
      <c r="K24" s="257"/>
      <c r="L24" s="27" t="s">
        <v>42</v>
      </c>
      <c r="N24" s="251">
        <f>'Form 2D - Design'!R70</f>
        <v>0</v>
      </c>
      <c r="O24" s="257"/>
      <c r="P24" s="257"/>
      <c r="Q24" s="27" t="s">
        <v>43</v>
      </c>
      <c r="S24" s="78"/>
      <c r="AA24" s="2" t="s">
        <v>224</v>
      </c>
      <c r="AB24" s="186"/>
      <c r="AC24" s="186"/>
      <c r="AD24" s="186"/>
      <c r="AE24" s="27" t="s">
        <v>42</v>
      </c>
      <c r="AG24" s="186"/>
      <c r="AH24" s="186"/>
      <c r="AI24" s="186"/>
      <c r="AJ24" s="27" t="s">
        <v>43</v>
      </c>
      <c r="AV24" s="4" t="s">
        <v>93</v>
      </c>
      <c r="AW24" s="86" t="s">
        <v>472</v>
      </c>
      <c r="AY24" s="86"/>
      <c r="AZ24" s="86"/>
      <c r="BA24" s="54"/>
      <c r="BB24" s="60"/>
      <c r="BC24" s="60"/>
      <c r="BD24" s="60"/>
      <c r="BE24" s="60"/>
      <c r="BF24" s="60"/>
    </row>
    <row r="25" spans="2:58" ht="4.95" customHeight="1" x14ac:dyDescent="0.3">
      <c r="S25" s="78"/>
      <c r="AI25" s="10"/>
      <c r="AJ25" s="10"/>
      <c r="AY25" s="54"/>
      <c r="AZ25" s="54"/>
    </row>
    <row r="26" spans="2:58" ht="14.55" customHeight="1" x14ac:dyDescent="0.3">
      <c r="B26" s="73" t="s">
        <v>200</v>
      </c>
      <c r="K26" s="103">
        <f>'Form 2D - Design'!AC72</f>
        <v>0</v>
      </c>
      <c r="L26" s="27" t="s">
        <v>204</v>
      </c>
      <c r="S26" s="78"/>
      <c r="U26" s="73" t="s">
        <v>200</v>
      </c>
      <c r="AD26" s="56"/>
      <c r="AE26" s="27" t="s">
        <v>204</v>
      </c>
      <c r="AM26" s="93">
        <f>IF(ISBLANK(AD26),1,2)</f>
        <v>1</v>
      </c>
      <c r="AV26" s="4" t="s">
        <v>94</v>
      </c>
      <c r="AW26" s="88" t="s">
        <v>101</v>
      </c>
      <c r="AX26" s="86"/>
      <c r="AZ26" s="54"/>
    </row>
    <row r="27" spans="2:58" ht="14.55" customHeight="1" x14ac:dyDescent="0.3">
      <c r="E27" s="2" t="s">
        <v>157</v>
      </c>
      <c r="F27" s="234">
        <f>'Form 2D - Design'!M72</f>
        <v>0</v>
      </c>
      <c r="G27" s="234"/>
      <c r="H27" s="234"/>
      <c r="I27" s="234"/>
      <c r="S27" s="78"/>
      <c r="X27" s="2" t="s">
        <v>157</v>
      </c>
      <c r="Y27" s="188"/>
      <c r="Z27" s="188"/>
      <c r="AA27" s="188"/>
      <c r="AB27" s="188"/>
      <c r="AM27" s="93">
        <f>IF(ISBLANK(Y27),1,2)</f>
        <v>1</v>
      </c>
      <c r="AU27" s="27"/>
      <c r="AW27" s="92" t="s">
        <v>108</v>
      </c>
      <c r="AX27" s="88" t="s">
        <v>102</v>
      </c>
    </row>
    <row r="28" spans="2:58" ht="14.55" customHeight="1" x14ac:dyDescent="0.3">
      <c r="I28" s="27" t="s">
        <v>199</v>
      </c>
      <c r="N28" s="27" t="s">
        <v>41</v>
      </c>
      <c r="S28" s="78"/>
      <c r="AB28" s="27" t="s">
        <v>199</v>
      </c>
      <c r="AG28" s="27" t="s">
        <v>41</v>
      </c>
      <c r="AW28" s="92" t="s">
        <v>108</v>
      </c>
      <c r="AX28" s="88" t="s">
        <v>96</v>
      </c>
    </row>
    <row r="29" spans="2:58" ht="14.55" customHeight="1" x14ac:dyDescent="0.3">
      <c r="H29" s="2" t="s">
        <v>202</v>
      </c>
      <c r="I29" s="251">
        <f>'Form 2D - Design'!M73</f>
        <v>0</v>
      </c>
      <c r="J29" s="257"/>
      <c r="K29" s="257"/>
      <c r="L29" s="27" t="s">
        <v>42</v>
      </c>
      <c r="N29" s="251">
        <f>'Form 2D - Design'!W73</f>
        <v>0</v>
      </c>
      <c r="O29" s="257"/>
      <c r="P29" s="257"/>
      <c r="Q29" s="27" t="s">
        <v>43</v>
      </c>
      <c r="S29" s="78"/>
      <c r="AA29" s="2" t="s">
        <v>202</v>
      </c>
      <c r="AB29" s="185"/>
      <c r="AC29" s="185"/>
      <c r="AD29" s="185"/>
      <c r="AE29" s="27" t="s">
        <v>42</v>
      </c>
      <c r="AG29" s="185"/>
      <c r="AH29" s="185"/>
      <c r="AI29" s="185"/>
      <c r="AJ29" s="27" t="s">
        <v>43</v>
      </c>
      <c r="AU29" s="27"/>
      <c r="AW29" s="92" t="s">
        <v>108</v>
      </c>
      <c r="AX29" s="27" t="s">
        <v>97</v>
      </c>
    </row>
    <row r="30" spans="2:58" ht="14.55" customHeight="1" x14ac:dyDescent="0.3">
      <c r="H30" s="2" t="s">
        <v>201</v>
      </c>
      <c r="I30" s="246">
        <f>'Form 2D - Design'!M74</f>
        <v>0</v>
      </c>
      <c r="J30" s="249"/>
      <c r="K30" s="249"/>
      <c r="L30" s="27" t="s">
        <v>42</v>
      </c>
      <c r="N30" s="246">
        <f>'Form 2D - Design'!W74</f>
        <v>0</v>
      </c>
      <c r="O30" s="249"/>
      <c r="P30" s="249"/>
      <c r="Q30" s="27" t="s">
        <v>43</v>
      </c>
      <c r="S30" s="78"/>
      <c r="AA30" s="2" t="s">
        <v>201</v>
      </c>
      <c r="AB30" s="186"/>
      <c r="AC30" s="186"/>
      <c r="AD30" s="186"/>
      <c r="AE30" s="27" t="s">
        <v>42</v>
      </c>
      <c r="AG30" s="186"/>
      <c r="AH30" s="186"/>
      <c r="AI30" s="186"/>
      <c r="AJ30" s="27" t="s">
        <v>43</v>
      </c>
      <c r="AW30" s="92" t="s">
        <v>108</v>
      </c>
      <c r="AX30" s="27" t="str">
        <f>Tables!F24</f>
        <v xml:space="preserve"> O&amp;M Agreement</v>
      </c>
    </row>
    <row r="31" spans="2:58" ht="4.95" customHeight="1" x14ac:dyDescent="0.3">
      <c r="S31" s="78"/>
      <c r="AI31" s="10"/>
      <c r="AJ31" s="10"/>
      <c r="AU31" s="27"/>
      <c r="AX31" s="91"/>
    </row>
    <row r="32" spans="2:58" ht="14.55" customHeight="1" x14ac:dyDescent="0.3">
      <c r="B32" s="73" t="s">
        <v>221</v>
      </c>
      <c r="K32" s="103">
        <f>'Form 2D - Design'!AC76</f>
        <v>0</v>
      </c>
      <c r="L32" s="27" t="s">
        <v>233</v>
      </c>
      <c r="S32" s="78"/>
      <c r="U32" s="73" t="s">
        <v>221</v>
      </c>
      <c r="AD32" s="56"/>
      <c r="AE32" s="27" t="s">
        <v>233</v>
      </c>
      <c r="AK32" s="1"/>
      <c r="AM32" s="93">
        <f>IF(ISBLANK(AD32),1,2)</f>
        <v>1</v>
      </c>
      <c r="AU32" s="22">
        <v>4</v>
      </c>
      <c r="AV32" s="88" t="str">
        <f>"Form 3D – Bioretention Area As-built Certification Form shall be approved by the "&amp;Tables!F23&amp;" prior to:"</f>
        <v>Form 3D – Bioretention Area As-built Certification Form shall be approved by the City prior to:</v>
      </c>
    </row>
    <row r="33" spans="2:49" ht="4.95" customHeight="1" x14ac:dyDescent="0.3">
      <c r="S33" s="78"/>
    </row>
    <row r="34" spans="2:49" ht="14.55" customHeight="1" x14ac:dyDescent="0.3">
      <c r="E34" s="2" t="s">
        <v>157</v>
      </c>
      <c r="F34" s="234">
        <f>'Form 2D - Design'!M76</f>
        <v>0</v>
      </c>
      <c r="G34" s="234"/>
      <c r="H34" s="234"/>
      <c r="I34" s="234"/>
      <c r="N34" s="2" t="s">
        <v>156</v>
      </c>
      <c r="O34" s="251">
        <f>'Form 2D - Design'!M77</f>
        <v>0</v>
      </c>
      <c r="P34" s="251"/>
      <c r="Q34" s="251"/>
      <c r="R34" s="27" t="s">
        <v>42</v>
      </c>
      <c r="S34" s="78"/>
      <c r="X34" s="2" t="s">
        <v>157</v>
      </c>
      <c r="Y34" s="188"/>
      <c r="Z34" s="188"/>
      <c r="AA34" s="188"/>
      <c r="AB34" s="188"/>
      <c r="AF34" s="2" t="s">
        <v>156</v>
      </c>
      <c r="AG34" s="185"/>
      <c r="AH34" s="185"/>
      <c r="AI34" s="185"/>
      <c r="AJ34" s="27" t="s">
        <v>42</v>
      </c>
      <c r="AM34" s="93">
        <f>IF(ISBLANK(Y34),1,2)</f>
        <v>1</v>
      </c>
      <c r="AV34" s="4" t="s">
        <v>93</v>
      </c>
      <c r="AW34" s="88" t="s">
        <v>103</v>
      </c>
    </row>
    <row r="35" spans="2:49" ht="14.55" customHeight="1" x14ac:dyDescent="0.3">
      <c r="E35" s="2"/>
      <c r="N35" s="2" t="s">
        <v>232</v>
      </c>
      <c r="O35" s="256">
        <f>'Form 2D - Design'!W77</f>
        <v>0</v>
      </c>
      <c r="P35" s="256"/>
      <c r="Q35" s="256"/>
      <c r="R35" s="27" t="s">
        <v>198</v>
      </c>
      <c r="S35" s="78"/>
      <c r="AF35" s="2" t="s">
        <v>232</v>
      </c>
      <c r="AG35" s="187"/>
      <c r="AH35" s="187"/>
      <c r="AI35" s="187"/>
      <c r="AJ35" s="27" t="s">
        <v>198</v>
      </c>
      <c r="AV35" s="4" t="s">
        <v>94</v>
      </c>
      <c r="AW35" s="88" t="s">
        <v>100</v>
      </c>
    </row>
    <row r="36" spans="2:49" ht="4.95" customHeight="1" x14ac:dyDescent="0.3">
      <c r="S36" s="78"/>
      <c r="AU36" s="27"/>
    </row>
    <row r="37" spans="2:49" ht="14.55" customHeight="1" x14ac:dyDescent="0.3">
      <c r="B37" s="73" t="s">
        <v>225</v>
      </c>
      <c r="K37" s="103">
        <f>'Form 2D - Design'!AC79</f>
        <v>0</v>
      </c>
      <c r="L37" s="27" t="s">
        <v>265</v>
      </c>
      <c r="S37" s="78"/>
      <c r="U37" s="73" t="s">
        <v>225</v>
      </c>
      <c r="AD37" s="56"/>
      <c r="AE37" s="27" t="s">
        <v>265</v>
      </c>
      <c r="AM37" s="93">
        <f>IF(ISBLANK(AD37),1,2)</f>
        <v>1</v>
      </c>
    </row>
    <row r="38" spans="2:49" ht="4.95" customHeight="1" x14ac:dyDescent="0.3">
      <c r="B38" s="73"/>
      <c r="M38" s="2"/>
      <c r="N38" s="4"/>
      <c r="P38" s="2"/>
      <c r="Q38" s="4"/>
      <c r="S38" s="78"/>
      <c r="U38" s="73"/>
      <c r="AU38" s="27"/>
    </row>
    <row r="39" spans="2:49" ht="14.55" customHeight="1" x14ac:dyDescent="0.3">
      <c r="B39" s="73"/>
      <c r="M39" s="2" t="s">
        <v>153</v>
      </c>
      <c r="N39" s="103">
        <f>'Form 2D - Design'!AE83</f>
        <v>0</v>
      </c>
      <c r="O39" s="27" t="s">
        <v>120</v>
      </c>
      <c r="P39" s="2"/>
      <c r="Q39" s="103">
        <f>'Form 2D - Design'!AH83</f>
        <v>0</v>
      </c>
      <c r="R39" s="27" t="s">
        <v>121</v>
      </c>
      <c r="S39" s="78"/>
      <c r="U39" s="73"/>
      <c r="AF39" s="2" t="s">
        <v>153</v>
      </c>
      <c r="AG39" s="56"/>
      <c r="AH39" s="27" t="s">
        <v>120</v>
      </c>
      <c r="AI39" s="2"/>
      <c r="AJ39" s="56"/>
      <c r="AK39" s="27" t="s">
        <v>121</v>
      </c>
      <c r="AM39" s="93">
        <f>IF(AND(ISBLANK(AG39),ISBLANK(AJ39)),1,2)</f>
        <v>1</v>
      </c>
      <c r="AU39" s="27"/>
    </row>
    <row r="40" spans="2:49" ht="4.95" customHeight="1" x14ac:dyDescent="0.3">
      <c r="B40" s="73"/>
      <c r="M40" s="2"/>
      <c r="N40" s="4"/>
      <c r="P40" s="2"/>
      <c r="Q40" s="76"/>
      <c r="S40" s="78"/>
      <c r="U40" s="73"/>
      <c r="AF40" s="2"/>
      <c r="AG40" s="4"/>
      <c r="AI40" s="2"/>
      <c r="AJ40" s="76"/>
      <c r="AU40" s="27"/>
    </row>
    <row r="41" spans="2:49" ht="14.55" customHeight="1" x14ac:dyDescent="0.3">
      <c r="E41" s="2" t="s">
        <v>157</v>
      </c>
      <c r="F41" s="234">
        <f>'Form 2D - Design'!M79</f>
        <v>0</v>
      </c>
      <c r="G41" s="234"/>
      <c r="H41" s="234"/>
      <c r="I41" s="234"/>
      <c r="N41" s="2" t="s">
        <v>158</v>
      </c>
      <c r="O41" s="234">
        <f>'Form 2D - Design'!W79</f>
        <v>0</v>
      </c>
      <c r="P41" s="234"/>
      <c r="Q41" s="234"/>
      <c r="S41" s="78"/>
      <c r="X41" s="2" t="s">
        <v>157</v>
      </c>
      <c r="Y41" s="188"/>
      <c r="Z41" s="188"/>
      <c r="AA41" s="188"/>
      <c r="AB41" s="188"/>
      <c r="AG41" s="2" t="s">
        <v>158</v>
      </c>
      <c r="AH41" s="188"/>
      <c r="AI41" s="188"/>
      <c r="AJ41" s="188"/>
      <c r="AM41" s="93">
        <f>IF(ISBLANK(Y41),1,2)</f>
        <v>1</v>
      </c>
      <c r="AU41" s="27"/>
    </row>
    <row r="42" spans="2:49" ht="14.55" customHeight="1" x14ac:dyDescent="0.3">
      <c r="E42" s="2" t="s">
        <v>156</v>
      </c>
      <c r="F42" s="246">
        <f>'Form 2D - Design'!M81</f>
        <v>0</v>
      </c>
      <c r="G42" s="246"/>
      <c r="H42" s="246"/>
      <c r="I42" s="27" t="s">
        <v>42</v>
      </c>
      <c r="S42" s="78"/>
      <c r="X42" s="2" t="s">
        <v>156</v>
      </c>
      <c r="Y42" s="186"/>
      <c r="Z42" s="186"/>
      <c r="AA42" s="186"/>
      <c r="AB42" s="27" t="s">
        <v>42</v>
      </c>
      <c r="AM42" s="93">
        <f>IF(ISBLANK(Y42),1,2)</f>
        <v>1</v>
      </c>
      <c r="AU42" s="27"/>
    </row>
    <row r="43" spans="2:49" ht="14.55" customHeight="1" x14ac:dyDescent="0.3">
      <c r="E43" s="2" t="s">
        <v>155</v>
      </c>
      <c r="F43" s="246">
        <f>'Form 2D - Design'!W81</f>
        <v>0</v>
      </c>
      <c r="G43" s="246"/>
      <c r="H43" s="246"/>
      <c r="I43" s="27" t="s">
        <v>43</v>
      </c>
      <c r="N43" s="2" t="s">
        <v>159</v>
      </c>
      <c r="O43" s="251">
        <f>'Form 2D - Design'!AF81</f>
        <v>0</v>
      </c>
      <c r="P43" s="251"/>
      <c r="Q43" s="251"/>
      <c r="R43" s="27" t="s">
        <v>43</v>
      </c>
      <c r="S43" s="78"/>
      <c r="X43" s="2" t="s">
        <v>155</v>
      </c>
      <c r="Y43" s="186"/>
      <c r="Z43" s="186"/>
      <c r="AA43" s="186"/>
      <c r="AB43" s="27" t="s">
        <v>43</v>
      </c>
      <c r="AG43" s="2" t="s">
        <v>159</v>
      </c>
      <c r="AH43" s="185"/>
      <c r="AI43" s="185"/>
      <c r="AJ43" s="185"/>
      <c r="AK43" s="27" t="s">
        <v>43</v>
      </c>
      <c r="AM43" s="93">
        <f>IF(AND(ISBLANK(Y43),ISBLANK(AH43)),1,2)</f>
        <v>1</v>
      </c>
    </row>
    <row r="44" spans="2:49" ht="14.55" customHeight="1" x14ac:dyDescent="0.3">
      <c r="E44" s="2" t="s">
        <v>260</v>
      </c>
      <c r="F44" s="246">
        <f>'Form 2D - Design'!M83</f>
        <v>0</v>
      </c>
      <c r="G44" s="246"/>
      <c r="H44" s="246"/>
      <c r="I44" s="27" t="s">
        <v>43</v>
      </c>
      <c r="N44" s="2" t="s">
        <v>261</v>
      </c>
      <c r="O44" s="246">
        <f>'Form 2D - Design'!W83</f>
        <v>0</v>
      </c>
      <c r="P44" s="246"/>
      <c r="Q44" s="246"/>
      <c r="R44" s="27" t="s">
        <v>43</v>
      </c>
      <c r="S44" s="78"/>
      <c r="X44" s="2" t="s">
        <v>260</v>
      </c>
      <c r="Y44" s="186"/>
      <c r="Z44" s="186"/>
      <c r="AA44" s="186"/>
      <c r="AB44" s="27" t="s">
        <v>43</v>
      </c>
      <c r="AG44" s="2" t="s">
        <v>261</v>
      </c>
      <c r="AH44" s="186"/>
      <c r="AI44" s="186"/>
      <c r="AJ44" s="186"/>
      <c r="AK44" s="27" t="s">
        <v>43</v>
      </c>
    </row>
    <row r="45" spans="2:49" ht="4.95" customHeight="1" x14ac:dyDescent="0.3">
      <c r="S45" s="78"/>
    </row>
    <row r="46" spans="2:49" ht="14.55" customHeight="1" x14ac:dyDescent="0.3">
      <c r="B46" s="73" t="s">
        <v>226</v>
      </c>
      <c r="E46" s="2"/>
      <c r="F46" s="2"/>
      <c r="G46" s="2"/>
      <c r="H46" s="2"/>
      <c r="I46" s="2"/>
      <c r="J46" s="2"/>
      <c r="S46" s="78"/>
      <c r="U46" s="73" t="s">
        <v>226</v>
      </c>
      <c r="X46" s="2"/>
      <c r="Y46" s="2"/>
      <c r="Z46" s="2"/>
      <c r="AA46" s="2"/>
      <c r="AB46" s="2"/>
      <c r="AC46" s="2"/>
    </row>
    <row r="47" spans="2:49" ht="14.55" customHeight="1" x14ac:dyDescent="0.3">
      <c r="E47" s="2" t="s">
        <v>157</v>
      </c>
      <c r="F47" s="234">
        <f>'Form 2D - Design'!M85</f>
        <v>0</v>
      </c>
      <c r="G47" s="234"/>
      <c r="H47" s="234"/>
      <c r="I47" s="234"/>
      <c r="N47" s="2" t="s">
        <v>158</v>
      </c>
      <c r="O47" s="234">
        <f>'Form 2D - Design'!W85</f>
        <v>0</v>
      </c>
      <c r="P47" s="234"/>
      <c r="Q47" s="234"/>
      <c r="S47" s="78"/>
      <c r="X47" s="2" t="s">
        <v>157</v>
      </c>
      <c r="Y47" s="188"/>
      <c r="Z47" s="188"/>
      <c r="AA47" s="188"/>
      <c r="AB47" s="188"/>
      <c r="AG47" s="2" t="s">
        <v>158</v>
      </c>
      <c r="AH47" s="252"/>
      <c r="AI47" s="252"/>
      <c r="AJ47" s="252"/>
    </row>
    <row r="48" spans="2:49" ht="14.55" customHeight="1" x14ac:dyDescent="0.3">
      <c r="E48" s="2" t="s">
        <v>156</v>
      </c>
      <c r="F48" s="246">
        <f>'Form 2D - Design'!M86</f>
        <v>0</v>
      </c>
      <c r="G48" s="246"/>
      <c r="H48" s="246"/>
      <c r="I48" s="27" t="s">
        <v>42</v>
      </c>
      <c r="N48" s="2" t="s">
        <v>207</v>
      </c>
      <c r="O48" s="246">
        <f>'Form 2D - Design'!AF85</f>
        <v>0</v>
      </c>
      <c r="P48" s="246"/>
      <c r="Q48" s="246"/>
      <c r="R48" s="27" t="s">
        <v>43</v>
      </c>
      <c r="S48" s="78"/>
      <c r="X48" s="2" t="s">
        <v>156</v>
      </c>
      <c r="Y48" s="186"/>
      <c r="Z48" s="186"/>
      <c r="AA48" s="186"/>
      <c r="AB48" s="27" t="s">
        <v>42</v>
      </c>
      <c r="AG48" s="2" t="s">
        <v>207</v>
      </c>
      <c r="AH48" s="186"/>
      <c r="AI48" s="186"/>
      <c r="AJ48" s="186"/>
      <c r="AK48" s="27" t="s">
        <v>43</v>
      </c>
      <c r="AM48" s="93">
        <f>IF(ISBLANK(Y48),1,2)</f>
        <v>1</v>
      </c>
    </row>
    <row r="49" spans="1:47" ht="14.55" customHeight="1" x14ac:dyDescent="0.3">
      <c r="E49" s="2" t="s">
        <v>155</v>
      </c>
      <c r="F49" s="246">
        <f>'Form 2D - Design'!W86</f>
        <v>0</v>
      </c>
      <c r="G49" s="246"/>
      <c r="H49" s="246"/>
      <c r="I49" s="27" t="s">
        <v>43</v>
      </c>
      <c r="N49" s="2" t="s">
        <v>159</v>
      </c>
      <c r="O49" s="251">
        <f>'Form 2D - Design'!AF86</f>
        <v>0</v>
      </c>
      <c r="P49" s="251"/>
      <c r="Q49" s="251"/>
      <c r="R49" s="27" t="s">
        <v>43</v>
      </c>
      <c r="S49" s="78"/>
      <c r="X49" s="2" t="s">
        <v>155</v>
      </c>
      <c r="Y49" s="186"/>
      <c r="Z49" s="186"/>
      <c r="AA49" s="186"/>
      <c r="AB49" s="27" t="s">
        <v>43</v>
      </c>
      <c r="AG49" s="2" t="s">
        <v>159</v>
      </c>
      <c r="AH49" s="185"/>
      <c r="AI49" s="185"/>
      <c r="AJ49" s="185"/>
      <c r="AK49" s="27" t="s">
        <v>43</v>
      </c>
      <c r="AM49" s="93">
        <f>IF(AND(ISBLANK(Y49),ISBLANK(AH49)),1,2)</f>
        <v>1</v>
      </c>
    </row>
    <row r="50" spans="1:47" ht="4.95" customHeight="1" x14ac:dyDescent="0.3">
      <c r="S50" s="78"/>
      <c r="AU50" s="27"/>
    </row>
    <row r="51" spans="1:47" ht="15" customHeight="1" x14ac:dyDescent="0.3">
      <c r="B51" s="73" t="s">
        <v>262</v>
      </c>
      <c r="J51" s="27" t="s">
        <v>195</v>
      </c>
      <c r="O51" s="27" t="s">
        <v>262</v>
      </c>
      <c r="S51" s="78"/>
      <c r="V51" s="73" t="s">
        <v>262</v>
      </c>
      <c r="AC51" s="27" t="s">
        <v>195</v>
      </c>
      <c r="AH51" s="27" t="s">
        <v>262</v>
      </c>
      <c r="AU51" s="27"/>
    </row>
    <row r="52" spans="1:47" ht="15" customHeight="1" x14ac:dyDescent="0.3">
      <c r="I52" s="2" t="s">
        <v>263</v>
      </c>
      <c r="J52" s="251">
        <f>'Form 2D - Design'!M88</f>
        <v>0</v>
      </c>
      <c r="K52" s="257"/>
      <c r="L52" s="257"/>
      <c r="M52" s="27" t="s">
        <v>42</v>
      </c>
      <c r="O52" s="251">
        <f>'Form 2D - Design'!W88</f>
        <v>0</v>
      </c>
      <c r="P52" s="257"/>
      <c r="Q52" s="257"/>
      <c r="R52" s="27" t="s">
        <v>230</v>
      </c>
      <c r="S52" s="78"/>
      <c r="AB52" s="2" t="s">
        <v>263</v>
      </c>
      <c r="AC52" s="185"/>
      <c r="AD52" s="185"/>
      <c r="AE52" s="185"/>
      <c r="AF52" s="27" t="s">
        <v>42</v>
      </c>
      <c r="AH52" s="185"/>
      <c r="AI52" s="185"/>
      <c r="AJ52" s="185"/>
      <c r="AK52" s="27" t="s">
        <v>230</v>
      </c>
      <c r="AU52" s="27"/>
    </row>
    <row r="53" spans="1:47" ht="15" customHeight="1" x14ac:dyDescent="0.3">
      <c r="I53" s="2" t="s">
        <v>264</v>
      </c>
      <c r="J53" s="246">
        <f>'Form 2D - Design'!M90</f>
        <v>0</v>
      </c>
      <c r="K53" s="249"/>
      <c r="L53" s="249"/>
      <c r="M53" s="27" t="s">
        <v>42</v>
      </c>
      <c r="O53" s="246">
        <f>'Form 2D - Design'!W90</f>
        <v>0</v>
      </c>
      <c r="P53" s="249"/>
      <c r="Q53" s="249"/>
      <c r="R53" s="27" t="s">
        <v>230</v>
      </c>
      <c r="S53" s="78"/>
      <c r="AB53" s="2" t="s">
        <v>264</v>
      </c>
      <c r="AC53" s="186"/>
      <c r="AD53" s="186"/>
      <c r="AE53" s="186"/>
      <c r="AF53" s="27" t="s">
        <v>42</v>
      </c>
      <c r="AH53" s="186"/>
      <c r="AI53" s="186"/>
      <c r="AJ53" s="186"/>
      <c r="AK53" s="27" t="s">
        <v>230</v>
      </c>
      <c r="AU53" s="27"/>
    </row>
    <row r="54" spans="1:47" ht="15" customHeight="1" x14ac:dyDescent="0.3">
      <c r="AK54" s="29"/>
      <c r="AU54" s="27"/>
    </row>
    <row r="55" spans="1:47" ht="15" customHeight="1" x14ac:dyDescent="0.3">
      <c r="AK55" s="29"/>
      <c r="AU55" s="27"/>
    </row>
    <row r="56" spans="1:47" ht="15" customHeight="1" x14ac:dyDescent="0.3">
      <c r="AK56" s="29"/>
      <c r="AU56" s="27"/>
    </row>
    <row r="57" spans="1:47" ht="15" customHeight="1" x14ac:dyDescent="0.3">
      <c r="AK57" s="29"/>
      <c r="AU57" s="27"/>
    </row>
    <row r="58" spans="1:47" ht="15" customHeight="1" x14ac:dyDescent="0.3">
      <c r="B58" s="179">
        <f>Tables!$F$13</f>
        <v>45931</v>
      </c>
      <c r="C58" s="179"/>
      <c r="D58" s="179"/>
      <c r="E58" s="179"/>
      <c r="F58" s="179"/>
      <c r="G58" s="179"/>
      <c r="H58" s="179"/>
      <c r="R58" s="180" t="s">
        <v>410</v>
      </c>
      <c r="S58" s="180"/>
      <c r="T58" s="180"/>
      <c r="U58" s="180"/>
      <c r="AK58" s="29"/>
      <c r="AU58" s="27"/>
    </row>
    <row r="59" spans="1:47" ht="15" customHeight="1" x14ac:dyDescent="0.3">
      <c r="C59" s="2" t="s">
        <v>1</v>
      </c>
      <c r="D59" s="182">
        <f>IF(ISBLANK($E$7),"",$E$7)</f>
        <v>0</v>
      </c>
      <c r="E59" s="182"/>
      <c r="F59" s="182"/>
      <c r="G59" s="182"/>
      <c r="H59" s="182"/>
      <c r="I59" s="182"/>
      <c r="J59" s="182"/>
      <c r="K59" s="182"/>
      <c r="L59" s="182"/>
      <c r="M59" s="182"/>
      <c r="N59" s="182"/>
      <c r="O59" s="182"/>
      <c r="P59" s="182"/>
      <c r="Q59" s="182"/>
      <c r="R59" s="182"/>
      <c r="S59" s="182"/>
      <c r="T59" s="182"/>
      <c r="U59" s="182"/>
      <c r="V59" s="182"/>
      <c r="W59" s="182"/>
      <c r="X59" s="182"/>
      <c r="Y59" s="182"/>
      <c r="Z59" s="182"/>
      <c r="AA59" s="34"/>
      <c r="AB59" s="34"/>
      <c r="AC59" s="34"/>
      <c r="AF59" s="2" t="s">
        <v>21</v>
      </c>
      <c r="AG59" s="183">
        <f>AF7</f>
        <v>0</v>
      </c>
      <c r="AH59" s="183"/>
      <c r="AI59" s="183"/>
      <c r="AJ59" s="183"/>
      <c r="AK59" s="183"/>
      <c r="AU59" s="27"/>
    </row>
    <row r="60" spans="1:47" ht="15" customHeight="1" x14ac:dyDescent="0.3">
      <c r="H60" s="35"/>
      <c r="I60" s="35"/>
      <c r="J60" s="2"/>
      <c r="K60" s="2"/>
      <c r="L60" s="2"/>
      <c r="M60" s="35"/>
      <c r="N60" s="34"/>
      <c r="O60" s="34"/>
      <c r="P60" s="34"/>
      <c r="Q60" s="34"/>
      <c r="R60" s="34"/>
      <c r="S60" s="34"/>
      <c r="T60" s="34"/>
      <c r="U60" s="34"/>
      <c r="V60" s="34"/>
      <c r="W60" s="34"/>
      <c r="X60" s="34"/>
      <c r="Y60" s="34"/>
      <c r="Z60" s="34"/>
      <c r="AA60" s="34"/>
      <c r="AB60" s="34"/>
      <c r="AC60" s="34"/>
      <c r="AF60" s="2" t="s">
        <v>34</v>
      </c>
      <c r="AG60" s="241">
        <f>IF(ISBLANK($AF$8),"",$AF$8)</f>
        <v>0</v>
      </c>
      <c r="AH60" s="241"/>
      <c r="AI60" s="241"/>
      <c r="AJ60" s="241"/>
      <c r="AK60" s="241"/>
      <c r="AU60" s="27"/>
    </row>
    <row r="61" spans="1:47" ht="15" customHeight="1" x14ac:dyDescent="0.3">
      <c r="AU61" s="27"/>
    </row>
    <row r="62" spans="1:47" ht="15" customHeight="1" x14ac:dyDescent="0.3">
      <c r="A62" s="245" t="s">
        <v>14</v>
      </c>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95"/>
      <c r="AO62" s="67" t="s">
        <v>335</v>
      </c>
      <c r="AP62" s="93">
        <f>IF(AND(ISBLANK(Z64),ISBLANK(AC64)),1,IF(LEN(Z64)&gt;0,1,0))</f>
        <v>1</v>
      </c>
      <c r="AU62" s="27"/>
    </row>
    <row r="63" spans="1:47" ht="4.95" customHeight="1" x14ac:dyDescent="0.3">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95"/>
      <c r="AN63" s="95"/>
      <c r="AU63" s="27"/>
    </row>
    <row r="64" spans="1:47" ht="15" customHeight="1" x14ac:dyDescent="0.3">
      <c r="B64" s="1" t="s">
        <v>56</v>
      </c>
      <c r="C64" s="1"/>
      <c r="D64" s="1"/>
      <c r="E64" s="1"/>
      <c r="F64" s="103">
        <f>'Form 2D - Design'!K92</f>
        <v>0</v>
      </c>
      <c r="G64" s="27" t="s">
        <v>120</v>
      </c>
      <c r="I64" s="103">
        <f>'Form 2D - Design'!N92</f>
        <v>0</v>
      </c>
      <c r="J64" s="27" t="s">
        <v>121</v>
      </c>
      <c r="K64" s="1"/>
      <c r="L64" s="1"/>
      <c r="M64" s="1"/>
      <c r="N64" s="1"/>
      <c r="O64" s="1"/>
      <c r="P64" s="1"/>
      <c r="Q64" s="1"/>
      <c r="R64" s="1"/>
      <c r="S64" s="78"/>
      <c r="U64" s="1" t="s">
        <v>57</v>
      </c>
      <c r="W64" s="1"/>
      <c r="X64" s="1"/>
      <c r="Y64" s="1"/>
      <c r="Z64" s="56"/>
      <c r="AA64" s="27" t="s">
        <v>120</v>
      </c>
      <c r="AC64" s="56"/>
      <c r="AD64" s="27" t="s">
        <v>121</v>
      </c>
      <c r="AE64" s="1"/>
      <c r="AF64" s="1"/>
      <c r="AG64" s="1"/>
      <c r="AH64" s="1"/>
      <c r="AI64" s="55"/>
      <c r="AJ64" s="55"/>
      <c r="AM64" s="93">
        <f>IF(AND(ISBLANK(Z64),ISBLANK(AC64)),1,2)</f>
        <v>1</v>
      </c>
      <c r="AN64" s="93">
        <f>IF(ISBLANK(AC64),1,2)</f>
        <v>1</v>
      </c>
      <c r="AO64" s="67" t="s">
        <v>80</v>
      </c>
      <c r="AP64" s="93">
        <f>SUM(AN65:AN67,AP65:AP67)</f>
        <v>0</v>
      </c>
      <c r="AQ64" s="93"/>
      <c r="AR64" s="93"/>
      <c r="AS64" s="93">
        <f>IF(ISBLANK(Z64),1,2)</f>
        <v>1</v>
      </c>
      <c r="AU64" s="27"/>
    </row>
    <row r="65" spans="1:47" ht="15" customHeight="1" x14ac:dyDescent="0.3">
      <c r="C65" s="2"/>
      <c r="D65" s="2" t="s">
        <v>29</v>
      </c>
      <c r="E65" s="182">
        <f>'Form 2D - Design'!F94</f>
        <v>0</v>
      </c>
      <c r="F65" s="182"/>
      <c r="G65" s="182"/>
      <c r="H65" s="182"/>
      <c r="N65" s="2" t="s">
        <v>32</v>
      </c>
      <c r="O65" s="182">
        <f>'Form 2D - Design'!O94</f>
        <v>0</v>
      </c>
      <c r="P65" s="182"/>
      <c r="Q65" s="182"/>
      <c r="R65" s="182"/>
      <c r="S65" s="78"/>
      <c r="X65" s="2" t="s">
        <v>29</v>
      </c>
      <c r="Y65" s="188"/>
      <c r="Z65" s="188"/>
      <c r="AA65" s="188"/>
      <c r="AB65" s="188"/>
      <c r="AG65" s="2" t="s">
        <v>32</v>
      </c>
      <c r="AH65" s="188"/>
      <c r="AI65" s="188"/>
      <c r="AJ65" s="188"/>
      <c r="AK65" s="188"/>
      <c r="AM65" s="67" t="s">
        <v>23</v>
      </c>
      <c r="AN65" s="93">
        <f>IF(ISBLANK(Y65),0,1)</f>
        <v>0</v>
      </c>
      <c r="AO65" s="67" t="s">
        <v>33</v>
      </c>
      <c r="AP65" s="93">
        <f>IF(ISBLANK(AH65),0,1)</f>
        <v>0</v>
      </c>
      <c r="AU65" s="27"/>
    </row>
    <row r="66" spans="1:47" ht="15" customHeight="1" x14ac:dyDescent="0.3">
      <c r="C66" s="2"/>
      <c r="D66" s="2" t="s">
        <v>40</v>
      </c>
      <c r="E66" s="255">
        <f>'Form 2D - Design'!F95</f>
        <v>0</v>
      </c>
      <c r="F66" s="255"/>
      <c r="G66" s="255"/>
      <c r="H66" s="27" t="s">
        <v>43</v>
      </c>
      <c r="N66" s="2" t="s">
        <v>44</v>
      </c>
      <c r="O66" s="255">
        <f>'Form 2D - Design'!O95</f>
        <v>0</v>
      </c>
      <c r="P66" s="255"/>
      <c r="Q66" s="255"/>
      <c r="R66" s="27" t="s">
        <v>43</v>
      </c>
      <c r="S66" s="78"/>
      <c r="X66" s="2" t="s">
        <v>40</v>
      </c>
      <c r="Y66" s="186"/>
      <c r="Z66" s="186"/>
      <c r="AA66" s="186"/>
      <c r="AB66" s="27" t="s">
        <v>43</v>
      </c>
      <c r="AG66" s="2" t="s">
        <v>44</v>
      </c>
      <c r="AH66" s="186"/>
      <c r="AI66" s="186"/>
      <c r="AJ66" s="186"/>
      <c r="AK66" s="27" t="s">
        <v>43</v>
      </c>
      <c r="AM66" s="67" t="s">
        <v>52</v>
      </c>
      <c r="AN66" s="93">
        <f>IF(ISBLANK(Y66),0,1)</f>
        <v>0</v>
      </c>
      <c r="AO66" s="67" t="s">
        <v>77</v>
      </c>
      <c r="AP66" s="93">
        <f>IF(ISBLANK(AH66),0,1)</f>
        <v>0</v>
      </c>
      <c r="AU66" s="27"/>
    </row>
    <row r="67" spans="1:47" ht="15" customHeight="1" x14ac:dyDescent="0.3">
      <c r="C67" s="2"/>
      <c r="D67" s="2" t="s">
        <v>45</v>
      </c>
      <c r="E67" s="255">
        <f>'Form 2D - Design'!W95</f>
        <v>0</v>
      </c>
      <c r="F67" s="255"/>
      <c r="G67" s="255"/>
      <c r="H67" s="27" t="s">
        <v>43</v>
      </c>
      <c r="N67" s="2" t="s">
        <v>113</v>
      </c>
      <c r="O67" s="255">
        <f>'Form 2D - Design'!AF95</f>
        <v>0</v>
      </c>
      <c r="P67" s="255"/>
      <c r="Q67" s="255"/>
      <c r="R67" s="27" t="s">
        <v>43</v>
      </c>
      <c r="S67" s="78"/>
      <c r="X67" s="2" t="s">
        <v>45</v>
      </c>
      <c r="Y67" s="186"/>
      <c r="Z67" s="186"/>
      <c r="AA67" s="186"/>
      <c r="AB67" s="27" t="s">
        <v>43</v>
      </c>
      <c r="AG67" s="2" t="s">
        <v>113</v>
      </c>
      <c r="AH67" s="186"/>
      <c r="AI67" s="186"/>
      <c r="AJ67" s="186"/>
      <c r="AK67" s="27" t="s">
        <v>43</v>
      </c>
      <c r="AM67" s="67" t="s">
        <v>78</v>
      </c>
      <c r="AN67" s="93">
        <f>IF(ISBLANK(Y67),0,1)</f>
        <v>0</v>
      </c>
      <c r="AO67" s="67" t="s">
        <v>79</v>
      </c>
      <c r="AP67" s="93">
        <f>IF(ISBLANK(AH67),0,1)</f>
        <v>0</v>
      </c>
      <c r="AU67" s="27"/>
    </row>
    <row r="68" spans="1:47" ht="15" customHeight="1" x14ac:dyDescent="0.3">
      <c r="B68" s="2"/>
      <c r="C68" s="2"/>
      <c r="D68" s="2"/>
      <c r="E68" s="2"/>
      <c r="F68" s="2"/>
      <c r="G68" s="2"/>
      <c r="H68" s="29"/>
      <c r="M68" s="2"/>
      <c r="N68" s="29"/>
      <c r="O68" s="29"/>
      <c r="P68" s="29"/>
      <c r="U68" s="2"/>
      <c r="V68" s="2"/>
      <c r="W68" s="29"/>
      <c r="X68" s="29"/>
      <c r="Y68" s="29"/>
      <c r="AD68" s="2"/>
      <c r="AE68" s="29"/>
      <c r="AF68" s="29"/>
      <c r="AG68" s="29"/>
      <c r="AM68" s="67"/>
      <c r="AO68" s="67"/>
      <c r="AU68" s="27"/>
    </row>
    <row r="69" spans="1:47" ht="15" customHeight="1" x14ac:dyDescent="0.3">
      <c r="A69" s="247" t="s">
        <v>486</v>
      </c>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11"/>
      <c r="AN69" s="51"/>
      <c r="AU69" s="27"/>
    </row>
    <row r="70" spans="1:47" ht="15" customHeight="1" x14ac:dyDescent="0.3">
      <c r="B70" s="1" t="s">
        <v>56</v>
      </c>
      <c r="C70" s="1"/>
      <c r="D70" s="1"/>
      <c r="E70" s="1"/>
      <c r="G70" s="2" t="s">
        <v>193</v>
      </c>
      <c r="H70" s="234">
        <f>'Form 2D - Design'!L97</f>
        <v>0</v>
      </c>
      <c r="I70" s="234"/>
      <c r="J70" s="234"/>
      <c r="K70" s="234"/>
      <c r="L70" s="234"/>
      <c r="M70" s="234"/>
      <c r="N70" s="234"/>
      <c r="O70" s="234"/>
      <c r="P70" s="234"/>
      <c r="Q70" s="32"/>
      <c r="R70" s="32"/>
      <c r="S70" s="78"/>
      <c r="U70" s="1" t="s">
        <v>57</v>
      </c>
      <c r="W70" s="1"/>
      <c r="X70" s="1"/>
      <c r="Z70" s="2" t="s">
        <v>193</v>
      </c>
      <c r="AA70" s="188"/>
      <c r="AB70" s="188"/>
      <c r="AC70" s="188"/>
      <c r="AD70" s="188"/>
      <c r="AE70" s="188"/>
      <c r="AF70" s="188"/>
      <c r="AG70" s="188"/>
      <c r="AH70" s="188"/>
      <c r="AI70" s="188"/>
      <c r="AJ70" s="32"/>
      <c r="AK70" s="32"/>
      <c r="AL70" s="32"/>
      <c r="AM70" s="93">
        <f>IF(ISBLANK(AA70),1,0)</f>
        <v>1</v>
      </c>
      <c r="AN70" s="51"/>
      <c r="AU70" s="27"/>
    </row>
    <row r="71" spans="1:47" ht="15" customHeight="1" x14ac:dyDescent="0.3">
      <c r="B71" s="1"/>
      <c r="C71" s="1"/>
      <c r="D71" s="2" t="s">
        <v>159</v>
      </c>
      <c r="E71" s="251">
        <f>'Form 2D - Design'!F99</f>
        <v>0</v>
      </c>
      <c r="F71" s="251"/>
      <c r="G71" s="27" t="s">
        <v>43</v>
      </c>
      <c r="K71" s="2" t="s">
        <v>155</v>
      </c>
      <c r="L71" s="246">
        <f>'Form 2D - Design'!L99</f>
        <v>0</v>
      </c>
      <c r="M71" s="246"/>
      <c r="N71" s="27" t="s">
        <v>43</v>
      </c>
      <c r="S71" s="78"/>
      <c r="U71" s="2"/>
      <c r="W71" s="2" t="s">
        <v>159</v>
      </c>
      <c r="X71" s="185"/>
      <c r="Y71" s="185"/>
      <c r="Z71" s="27" t="s">
        <v>43</v>
      </c>
      <c r="AD71" s="2" t="s">
        <v>155</v>
      </c>
      <c r="AE71" s="186"/>
      <c r="AF71" s="186"/>
      <c r="AG71" s="27" t="s">
        <v>43</v>
      </c>
      <c r="AM71" s="93">
        <f>IF(ISBLANK(X71),1,0)</f>
        <v>1</v>
      </c>
      <c r="AN71" s="93">
        <f>IF(ISBLANK(AE71),1,0)</f>
        <v>1</v>
      </c>
      <c r="AU71" s="27"/>
    </row>
    <row r="72" spans="1:47" ht="4.95" customHeight="1" x14ac:dyDescent="0.3">
      <c r="B72" s="1"/>
      <c r="C72" s="1"/>
      <c r="D72" s="2"/>
      <c r="E72" s="28"/>
      <c r="F72" s="28"/>
      <c r="K72" s="2"/>
      <c r="L72" s="28"/>
      <c r="M72" s="28"/>
      <c r="S72" s="78"/>
      <c r="U72" s="2"/>
      <c r="W72" s="2"/>
      <c r="X72" s="28"/>
      <c r="Y72" s="28"/>
      <c r="AD72" s="2"/>
      <c r="AE72" s="28"/>
      <c r="AF72" s="28"/>
      <c r="AM72" s="11"/>
      <c r="AN72" s="51"/>
      <c r="AU72" s="27"/>
    </row>
    <row r="73" spans="1:47" ht="15" customHeight="1" x14ac:dyDescent="0.3">
      <c r="B73" s="1"/>
      <c r="C73" s="1"/>
      <c r="D73" s="2" t="s">
        <v>228</v>
      </c>
      <c r="E73" s="251">
        <f>'Form 2D - Design'!R99</f>
        <v>0</v>
      </c>
      <c r="F73" s="251"/>
      <c r="G73" s="27" t="s">
        <v>43</v>
      </c>
      <c r="L73" s="2" t="s">
        <v>492</v>
      </c>
      <c r="M73" s="103">
        <f>'Form 2D - Design'!AF99</f>
        <v>0</v>
      </c>
      <c r="N73" s="27" t="s">
        <v>120</v>
      </c>
      <c r="P73" s="103">
        <f>'Form 2D - Design'!AI99</f>
        <v>0</v>
      </c>
      <c r="Q73" s="32" t="s">
        <v>138</v>
      </c>
      <c r="S73" s="78"/>
      <c r="W73" s="2" t="s">
        <v>228</v>
      </c>
      <c r="X73" s="185"/>
      <c r="Y73" s="185"/>
      <c r="Z73" s="27" t="s">
        <v>43</v>
      </c>
      <c r="AE73" s="2" t="s">
        <v>492</v>
      </c>
      <c r="AF73" s="56"/>
      <c r="AG73" s="27" t="s">
        <v>120</v>
      </c>
      <c r="AI73" s="56"/>
      <c r="AJ73" s="32" t="s">
        <v>138</v>
      </c>
      <c r="AM73" s="93">
        <f>IF(ISBLANK(X73),1,0)</f>
        <v>1</v>
      </c>
      <c r="AN73" s="93">
        <f>IF(AND(ISBLANK(AF73),ISBLANK(AI73)),1,0)</f>
        <v>1</v>
      </c>
      <c r="AO73" s="93">
        <f>IF(ISBLANK(AI73),1,2)</f>
        <v>1</v>
      </c>
      <c r="AU73" s="27"/>
    </row>
    <row r="74" spans="1:47" ht="15" customHeight="1" x14ac:dyDescent="0.3">
      <c r="B74" s="2"/>
      <c r="C74" s="2"/>
      <c r="D74" s="2"/>
      <c r="E74" s="2"/>
      <c r="F74" s="2"/>
      <c r="G74" s="2"/>
      <c r="H74" s="29"/>
      <c r="M74" s="2"/>
      <c r="N74" s="29"/>
      <c r="O74" s="29"/>
      <c r="P74" s="29"/>
      <c r="U74" s="2"/>
      <c r="V74" s="2"/>
      <c r="W74" s="29"/>
      <c r="X74" s="29"/>
      <c r="Y74" s="29"/>
      <c r="AD74" s="2"/>
      <c r="AE74" s="29"/>
      <c r="AF74" s="29"/>
      <c r="AG74" s="29"/>
      <c r="AM74" s="67"/>
      <c r="AO74" s="67"/>
      <c r="AU74" s="27"/>
    </row>
    <row r="75" spans="1:47" s="5" customFormat="1" ht="15" customHeight="1" x14ac:dyDescent="0.3">
      <c r="A75" s="247" t="s">
        <v>15</v>
      </c>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100"/>
      <c r="AN75" s="95"/>
      <c r="AO75" s="100"/>
      <c r="AP75" s="95"/>
      <c r="AQ75" s="95"/>
      <c r="AR75" s="95"/>
      <c r="AS75" s="21"/>
    </row>
    <row r="76" spans="1:47" ht="15" customHeight="1" x14ac:dyDescent="0.3">
      <c r="B76" s="1" t="s">
        <v>56</v>
      </c>
      <c r="C76" s="1"/>
      <c r="D76" s="1"/>
      <c r="E76" s="1"/>
      <c r="F76" s="1"/>
      <c r="H76" s="30" t="s">
        <v>46</v>
      </c>
      <c r="I76" s="260">
        <f>'Form 2D - Design'!O115</f>
        <v>0</v>
      </c>
      <c r="J76" s="260"/>
      <c r="K76" s="260"/>
      <c r="L76" s="260"/>
      <c r="O76" s="58"/>
      <c r="P76" s="58"/>
      <c r="Q76" s="1"/>
      <c r="R76" s="1"/>
      <c r="S76" s="78"/>
      <c r="U76" s="1" t="s">
        <v>57</v>
      </c>
      <c r="W76" s="1"/>
      <c r="X76" s="1"/>
      <c r="Y76" s="31"/>
      <c r="AA76" s="30"/>
      <c r="AC76" s="30" t="s">
        <v>46</v>
      </c>
      <c r="AD76" s="210"/>
      <c r="AE76" s="210"/>
      <c r="AF76" s="210"/>
      <c r="AG76" s="210"/>
      <c r="AH76" s="31"/>
      <c r="AI76" s="31"/>
      <c r="AJ76" s="31"/>
      <c r="AK76" s="31"/>
      <c r="AM76" s="67" t="s">
        <v>139</v>
      </c>
      <c r="AN76" s="93">
        <f>IF(ISBLANK(AD76),0,1)</f>
        <v>0</v>
      </c>
      <c r="AO76" s="67" t="s">
        <v>141</v>
      </c>
      <c r="AP76" s="93">
        <f>SUM(AN76:AN77)</f>
        <v>0</v>
      </c>
      <c r="AR76" s="67" t="s">
        <v>445</v>
      </c>
      <c r="AS76" s="93">
        <f>IF(ISBLANK(AD76),1,IF(ISTEXT(AD76)=TRUE,3,2))</f>
        <v>1</v>
      </c>
      <c r="AU76" s="27"/>
    </row>
    <row r="77" spans="1:47" ht="15" customHeight="1" x14ac:dyDescent="0.3">
      <c r="B77" s="1"/>
      <c r="C77" s="1"/>
      <c r="D77" s="1"/>
      <c r="E77" s="1"/>
      <c r="F77" s="1"/>
      <c r="H77" s="2" t="s">
        <v>47</v>
      </c>
      <c r="I77" s="261">
        <f>'Form 2D - Design'!W115</f>
        <v>0</v>
      </c>
      <c r="J77" s="261"/>
      <c r="K77" s="261"/>
      <c r="L77" s="261"/>
      <c r="O77" s="58"/>
      <c r="P77" s="58"/>
      <c r="Q77" s="32"/>
      <c r="S77" s="78"/>
      <c r="AA77" s="2"/>
      <c r="AC77" s="2" t="s">
        <v>47</v>
      </c>
      <c r="AD77" s="262"/>
      <c r="AE77" s="262"/>
      <c r="AF77" s="262"/>
      <c r="AG77" s="262"/>
      <c r="AM77" s="67" t="s">
        <v>140</v>
      </c>
      <c r="AN77" s="93">
        <f>IF(ISBLANK(AD77),0,1)</f>
        <v>0</v>
      </c>
      <c r="AR77" s="67" t="s">
        <v>446</v>
      </c>
      <c r="AS77" s="93">
        <f>IF(ISBLANK(AD77),1,IF(ISTEXT(AD77)=TRUE,3,2))</f>
        <v>1</v>
      </c>
      <c r="AU77" s="27"/>
    </row>
    <row r="78" spans="1:47" ht="15" customHeight="1" x14ac:dyDescent="0.3">
      <c r="B78" s="1"/>
      <c r="C78" s="1"/>
      <c r="D78" s="1"/>
      <c r="E78" s="1"/>
      <c r="F78" s="1"/>
      <c r="G78" s="1"/>
      <c r="J78" s="2"/>
      <c r="K78" s="2"/>
      <c r="L78" s="2"/>
      <c r="M78" s="32"/>
      <c r="N78" s="32"/>
      <c r="O78" s="32"/>
      <c r="P78" s="32"/>
      <c r="Q78" s="32"/>
      <c r="U78" s="2"/>
      <c r="Z78" s="2"/>
      <c r="AA78" s="2"/>
      <c r="AB78" s="2"/>
      <c r="AC78" s="32"/>
      <c r="AD78" s="32"/>
      <c r="AE78" s="32"/>
      <c r="AF78" s="32"/>
      <c r="AU78" s="27"/>
    </row>
    <row r="79" spans="1:47" ht="15" customHeight="1" x14ac:dyDescent="0.3">
      <c r="A79" s="245" t="s">
        <v>58</v>
      </c>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95"/>
      <c r="AN79" s="95"/>
      <c r="AU79" s="27"/>
    </row>
    <row r="80" spans="1:47" ht="15" customHeight="1" x14ac:dyDescent="0.3">
      <c r="B80" s="1" t="s">
        <v>56</v>
      </c>
      <c r="C80" s="1"/>
      <c r="D80" s="1"/>
      <c r="E80" s="1"/>
      <c r="F80" s="1"/>
      <c r="I80" s="28" t="s">
        <v>59</v>
      </c>
      <c r="J80" s="263">
        <f>'Form 2D - Design'!W21</f>
        <v>0</v>
      </c>
      <c r="K80" s="263"/>
      <c r="L80" s="263"/>
      <c r="M80" s="27" t="s">
        <v>37</v>
      </c>
      <c r="S80" s="78"/>
      <c r="U80" s="1" t="s">
        <v>57</v>
      </c>
      <c r="W80" s="1"/>
      <c r="X80" s="1"/>
      <c r="AC80" s="28" t="s">
        <v>60</v>
      </c>
      <c r="AD80" s="198"/>
      <c r="AE80" s="198"/>
      <c r="AF80" s="198"/>
      <c r="AG80" s="27" t="s">
        <v>37</v>
      </c>
      <c r="AM80" s="67" t="s">
        <v>144</v>
      </c>
      <c r="AN80" s="93">
        <f>IF(OR(AD80&gt;J80,AD80=J80),1,2)</f>
        <v>1</v>
      </c>
      <c r="AU80" s="27"/>
    </row>
    <row r="81" spans="1:47" ht="15" customHeight="1" x14ac:dyDescent="0.3">
      <c r="B81" s="1"/>
      <c r="C81" s="1"/>
      <c r="D81" s="1"/>
      <c r="E81" s="1"/>
      <c r="F81" s="1"/>
      <c r="G81" s="1"/>
      <c r="H81" s="1"/>
      <c r="M81" s="28"/>
      <c r="N81" s="7"/>
      <c r="O81" s="7"/>
      <c r="P81" s="7"/>
      <c r="U81" s="2"/>
      <c r="V81" s="28"/>
      <c r="W81" s="31"/>
      <c r="X81" s="31"/>
      <c r="Y81" s="31"/>
      <c r="AD81" s="28"/>
      <c r="AE81" s="33"/>
      <c r="AF81" s="33"/>
      <c r="AG81" s="33"/>
      <c r="AU81" s="27"/>
    </row>
    <row r="82" spans="1:47" ht="15" customHeight="1" x14ac:dyDescent="0.3">
      <c r="A82" s="245" t="s">
        <v>16</v>
      </c>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95"/>
      <c r="AN82" s="93">
        <f>IF(OR(J80=0,ISBLANK(AD80)),2,1)</f>
        <v>2</v>
      </c>
      <c r="AU82" s="27"/>
    </row>
    <row r="83" spans="1:47" ht="15" customHeight="1" x14ac:dyDescent="0.3">
      <c r="B83" s="1" t="s">
        <v>56</v>
      </c>
      <c r="C83" s="1"/>
      <c r="D83" s="1"/>
      <c r="E83" s="1"/>
      <c r="F83" s="1"/>
      <c r="H83" s="1"/>
      <c r="S83" s="78"/>
      <c r="U83" s="1" t="s">
        <v>57</v>
      </c>
      <c r="X83" s="1"/>
      <c r="Y83" s="1"/>
      <c r="AU83" s="27"/>
    </row>
    <row r="84" spans="1:47" ht="15" customHeight="1" x14ac:dyDescent="0.3">
      <c r="C84" s="4" t="s">
        <v>17</v>
      </c>
      <c r="G84" s="180" t="s">
        <v>18</v>
      </c>
      <c r="H84" s="180"/>
      <c r="I84" s="180"/>
      <c r="J84" s="180"/>
      <c r="K84" s="4"/>
      <c r="M84" s="27" t="s">
        <v>49</v>
      </c>
      <c r="S84" s="78"/>
      <c r="U84" s="2"/>
      <c r="W84" s="4" t="s">
        <v>17</v>
      </c>
      <c r="X84" s="4"/>
      <c r="Y84" s="4"/>
      <c r="AA84" s="180" t="s">
        <v>18</v>
      </c>
      <c r="AB84" s="180"/>
      <c r="AC84" s="180"/>
      <c r="AD84" s="180"/>
      <c r="AG84" s="27" t="s">
        <v>49</v>
      </c>
      <c r="AU84" s="27"/>
    </row>
    <row r="85" spans="1:47" ht="15" customHeight="1" x14ac:dyDescent="0.3">
      <c r="B85" s="251">
        <f>'Form 2D - Design'!C103</f>
        <v>0</v>
      </c>
      <c r="C85" s="251"/>
      <c r="D85" s="251"/>
      <c r="E85" s="27" t="s">
        <v>43</v>
      </c>
      <c r="G85" s="254">
        <f>'Form 2D - Design'!H103</f>
        <v>0</v>
      </c>
      <c r="H85" s="254"/>
      <c r="I85" s="254"/>
      <c r="J85" s="254"/>
      <c r="K85" s="27" t="s">
        <v>39</v>
      </c>
      <c r="M85" s="254">
        <f>'Form 2D - Design'!M103</f>
        <v>0</v>
      </c>
      <c r="N85" s="254"/>
      <c r="O85" s="254"/>
      <c r="P85" s="254"/>
      <c r="Q85" s="27" t="s">
        <v>37</v>
      </c>
      <c r="S85" s="78"/>
      <c r="U85" s="2"/>
      <c r="V85" s="185"/>
      <c r="W85" s="185"/>
      <c r="X85" s="185"/>
      <c r="Y85" s="27" t="s">
        <v>43</v>
      </c>
      <c r="AA85" s="198"/>
      <c r="AB85" s="198"/>
      <c r="AC85" s="198"/>
      <c r="AD85" s="198"/>
      <c r="AE85" s="27" t="s">
        <v>39</v>
      </c>
      <c r="AG85" s="198"/>
      <c r="AH85" s="198"/>
      <c r="AI85" s="198"/>
      <c r="AJ85" s="198"/>
      <c r="AK85" s="27" t="s">
        <v>37</v>
      </c>
      <c r="AM85" s="93">
        <f>IF(ISBLANK(AA85),0,1)</f>
        <v>0</v>
      </c>
      <c r="AN85" s="93">
        <f>IF(ISBLANK(AG85),0,1)</f>
        <v>0</v>
      </c>
      <c r="AP85" s="93">
        <f t="shared" ref="AP85:AP98" si="0">IF(ISBLANK(V85),1,2)</f>
        <v>1</v>
      </c>
      <c r="AU85" s="27"/>
    </row>
    <row r="86" spans="1:47" ht="15" customHeight="1" x14ac:dyDescent="0.3">
      <c r="B86" s="246">
        <f>'Form 2D - Design'!C104</f>
        <v>0</v>
      </c>
      <c r="C86" s="246"/>
      <c r="D86" s="246"/>
      <c r="E86" s="27" t="s">
        <v>43</v>
      </c>
      <c r="G86" s="253">
        <f>'Form 2D - Design'!H104</f>
        <v>0</v>
      </c>
      <c r="H86" s="253"/>
      <c r="I86" s="253"/>
      <c r="J86" s="253"/>
      <c r="K86" s="27" t="s">
        <v>39</v>
      </c>
      <c r="M86" s="254">
        <f>'Form 2D - Design'!M104</f>
        <v>0</v>
      </c>
      <c r="N86" s="254"/>
      <c r="O86" s="254"/>
      <c r="P86" s="254"/>
      <c r="Q86" s="27" t="s">
        <v>37</v>
      </c>
      <c r="S86" s="78"/>
      <c r="U86" s="2"/>
      <c r="V86" s="186"/>
      <c r="W86" s="186"/>
      <c r="X86" s="186"/>
      <c r="Y86" s="27" t="s">
        <v>43</v>
      </c>
      <c r="AA86" s="197"/>
      <c r="AB86" s="197"/>
      <c r="AC86" s="197"/>
      <c r="AD86" s="197"/>
      <c r="AE86" s="27" t="s">
        <v>39</v>
      </c>
      <c r="AG86" s="197"/>
      <c r="AH86" s="197"/>
      <c r="AI86" s="197"/>
      <c r="AJ86" s="197"/>
      <c r="AK86" s="27" t="s">
        <v>37</v>
      </c>
      <c r="AP86" s="93">
        <f t="shared" si="0"/>
        <v>1</v>
      </c>
      <c r="AU86" s="27"/>
    </row>
    <row r="87" spans="1:47" ht="15" customHeight="1" x14ac:dyDescent="0.3">
      <c r="B87" s="246">
        <f>'Form 2D - Design'!C105</f>
        <v>0</v>
      </c>
      <c r="C87" s="246"/>
      <c r="D87" s="246"/>
      <c r="E87" s="27" t="s">
        <v>43</v>
      </c>
      <c r="G87" s="253">
        <f>'Form 2D - Design'!H105</f>
        <v>0</v>
      </c>
      <c r="H87" s="253"/>
      <c r="I87" s="253"/>
      <c r="J87" s="253"/>
      <c r="K87" s="27" t="s">
        <v>39</v>
      </c>
      <c r="M87" s="254">
        <f>'Form 2D - Design'!M105</f>
        <v>0</v>
      </c>
      <c r="N87" s="254"/>
      <c r="O87" s="254"/>
      <c r="P87" s="254"/>
      <c r="Q87" s="27" t="s">
        <v>37</v>
      </c>
      <c r="S87" s="78"/>
      <c r="U87" s="2"/>
      <c r="V87" s="186"/>
      <c r="W87" s="186"/>
      <c r="X87" s="186"/>
      <c r="Y87" s="27" t="s">
        <v>43</v>
      </c>
      <c r="AA87" s="197"/>
      <c r="AB87" s="197"/>
      <c r="AC87" s="197"/>
      <c r="AD87" s="197"/>
      <c r="AE87" s="27" t="s">
        <v>39</v>
      </c>
      <c r="AG87" s="197"/>
      <c r="AH87" s="197"/>
      <c r="AI87" s="197"/>
      <c r="AJ87" s="197"/>
      <c r="AK87" s="27" t="s">
        <v>37</v>
      </c>
      <c r="AP87" s="93">
        <f t="shared" si="0"/>
        <v>1</v>
      </c>
      <c r="AU87" s="27"/>
    </row>
    <row r="88" spans="1:47" ht="15" customHeight="1" x14ac:dyDescent="0.3">
      <c r="B88" s="246">
        <f>'Form 2D - Design'!C106</f>
        <v>0</v>
      </c>
      <c r="C88" s="246"/>
      <c r="D88" s="246"/>
      <c r="E88" s="27" t="s">
        <v>43</v>
      </c>
      <c r="G88" s="253">
        <f>'Form 2D - Design'!H106</f>
        <v>0</v>
      </c>
      <c r="H88" s="253"/>
      <c r="I88" s="253"/>
      <c r="J88" s="253"/>
      <c r="K88" s="27" t="s">
        <v>39</v>
      </c>
      <c r="M88" s="254">
        <f>'Form 2D - Design'!M106</f>
        <v>0</v>
      </c>
      <c r="N88" s="254"/>
      <c r="O88" s="254"/>
      <c r="P88" s="254"/>
      <c r="Q88" s="27" t="s">
        <v>37</v>
      </c>
      <c r="S88" s="78"/>
      <c r="U88" s="2"/>
      <c r="V88" s="186"/>
      <c r="W88" s="186"/>
      <c r="X88" s="186"/>
      <c r="Y88" s="27" t="s">
        <v>43</v>
      </c>
      <c r="AA88" s="197"/>
      <c r="AB88" s="197"/>
      <c r="AC88" s="197"/>
      <c r="AD88" s="197"/>
      <c r="AE88" s="27" t="s">
        <v>39</v>
      </c>
      <c r="AG88" s="197"/>
      <c r="AH88" s="197"/>
      <c r="AI88" s="197"/>
      <c r="AJ88" s="197"/>
      <c r="AK88" s="27" t="s">
        <v>37</v>
      </c>
      <c r="AP88" s="93">
        <f t="shared" si="0"/>
        <v>1</v>
      </c>
      <c r="AU88" s="27"/>
    </row>
    <row r="89" spans="1:47" ht="15" customHeight="1" x14ac:dyDescent="0.3">
      <c r="B89" s="246">
        <f>'Form 2D - Design'!C107</f>
        <v>0</v>
      </c>
      <c r="C89" s="246"/>
      <c r="D89" s="246"/>
      <c r="E89" s="27" t="s">
        <v>43</v>
      </c>
      <c r="G89" s="253">
        <f>'Form 2D - Design'!H107</f>
        <v>0</v>
      </c>
      <c r="H89" s="253"/>
      <c r="I89" s="253"/>
      <c r="J89" s="253"/>
      <c r="K89" s="27" t="s">
        <v>39</v>
      </c>
      <c r="M89" s="254">
        <f>'Form 2D - Design'!M107</f>
        <v>0</v>
      </c>
      <c r="N89" s="254"/>
      <c r="O89" s="254"/>
      <c r="P89" s="254"/>
      <c r="Q89" s="27" t="s">
        <v>37</v>
      </c>
      <c r="S89" s="78"/>
      <c r="U89" s="2"/>
      <c r="V89" s="186"/>
      <c r="W89" s="186"/>
      <c r="X89" s="186"/>
      <c r="Y89" s="27" t="s">
        <v>43</v>
      </c>
      <c r="AA89" s="197"/>
      <c r="AB89" s="197"/>
      <c r="AC89" s="197"/>
      <c r="AD89" s="197"/>
      <c r="AE89" s="27" t="s">
        <v>39</v>
      </c>
      <c r="AG89" s="197"/>
      <c r="AH89" s="197"/>
      <c r="AI89" s="197"/>
      <c r="AJ89" s="197"/>
      <c r="AK89" s="27" t="s">
        <v>37</v>
      </c>
      <c r="AP89" s="93">
        <f t="shared" si="0"/>
        <v>1</v>
      </c>
      <c r="AU89" s="27"/>
    </row>
    <row r="90" spans="1:47" ht="15" customHeight="1" x14ac:dyDescent="0.3">
      <c r="B90" s="246">
        <f>'Form 2D - Design'!C108</f>
        <v>0</v>
      </c>
      <c r="C90" s="246"/>
      <c r="D90" s="246"/>
      <c r="E90" s="27" t="s">
        <v>43</v>
      </c>
      <c r="G90" s="253">
        <f>'Form 2D - Design'!H108</f>
        <v>0</v>
      </c>
      <c r="H90" s="253"/>
      <c r="I90" s="253"/>
      <c r="J90" s="253"/>
      <c r="K90" s="27" t="s">
        <v>39</v>
      </c>
      <c r="M90" s="254">
        <f>'Form 2D - Design'!M108</f>
        <v>0</v>
      </c>
      <c r="N90" s="254"/>
      <c r="O90" s="254"/>
      <c r="P90" s="254"/>
      <c r="Q90" s="27" t="s">
        <v>37</v>
      </c>
      <c r="S90" s="78"/>
      <c r="U90" s="2"/>
      <c r="V90" s="186"/>
      <c r="W90" s="186"/>
      <c r="X90" s="186"/>
      <c r="Y90" s="27" t="s">
        <v>43</v>
      </c>
      <c r="AA90" s="197"/>
      <c r="AB90" s="197"/>
      <c r="AC90" s="197"/>
      <c r="AD90" s="197"/>
      <c r="AE90" s="27" t="s">
        <v>39</v>
      </c>
      <c r="AG90" s="197"/>
      <c r="AH90" s="197"/>
      <c r="AI90" s="197"/>
      <c r="AJ90" s="197"/>
      <c r="AK90" s="27" t="s">
        <v>37</v>
      </c>
      <c r="AP90" s="93">
        <f t="shared" si="0"/>
        <v>1</v>
      </c>
      <c r="AU90" s="27"/>
    </row>
    <row r="91" spans="1:47" ht="15" customHeight="1" x14ac:dyDescent="0.3">
      <c r="B91" s="246">
        <f>'Form 2D - Design'!C109</f>
        <v>0</v>
      </c>
      <c r="C91" s="246"/>
      <c r="D91" s="246"/>
      <c r="E91" s="27" t="s">
        <v>43</v>
      </c>
      <c r="G91" s="253">
        <f>'Form 2D - Design'!H109</f>
        <v>0</v>
      </c>
      <c r="H91" s="253"/>
      <c r="I91" s="253"/>
      <c r="J91" s="253"/>
      <c r="K91" s="27" t="s">
        <v>39</v>
      </c>
      <c r="M91" s="254">
        <f>'Form 2D - Design'!M109</f>
        <v>0</v>
      </c>
      <c r="N91" s="254"/>
      <c r="O91" s="254"/>
      <c r="P91" s="254"/>
      <c r="Q91" s="27" t="s">
        <v>37</v>
      </c>
      <c r="S91" s="78"/>
      <c r="U91" s="2"/>
      <c r="V91" s="186"/>
      <c r="W91" s="186"/>
      <c r="X91" s="186"/>
      <c r="Y91" s="27" t="s">
        <v>43</v>
      </c>
      <c r="AA91" s="197"/>
      <c r="AB91" s="197"/>
      <c r="AC91" s="197"/>
      <c r="AD91" s="197"/>
      <c r="AE91" s="27" t="s">
        <v>39</v>
      </c>
      <c r="AG91" s="197"/>
      <c r="AH91" s="197"/>
      <c r="AI91" s="197"/>
      <c r="AJ91" s="197"/>
      <c r="AK91" s="27" t="s">
        <v>37</v>
      </c>
      <c r="AP91" s="93">
        <f t="shared" si="0"/>
        <v>1</v>
      </c>
      <c r="AU91" s="27"/>
    </row>
    <row r="92" spans="1:47" ht="15" customHeight="1" x14ac:dyDescent="0.3">
      <c r="B92" s="246">
        <f>'Form 2D - Design'!S103</f>
        <v>0</v>
      </c>
      <c r="C92" s="246"/>
      <c r="D92" s="246"/>
      <c r="E92" s="27" t="s">
        <v>43</v>
      </c>
      <c r="G92" s="253">
        <f>'Form 2D - Design'!X103</f>
        <v>0</v>
      </c>
      <c r="H92" s="253"/>
      <c r="I92" s="253"/>
      <c r="J92" s="253"/>
      <c r="K92" s="27" t="s">
        <v>39</v>
      </c>
      <c r="M92" s="254">
        <f>'Form 2D - Design'!AC103</f>
        <v>0</v>
      </c>
      <c r="N92" s="254"/>
      <c r="O92" s="254"/>
      <c r="P92" s="254"/>
      <c r="Q92" s="27" t="s">
        <v>37</v>
      </c>
      <c r="S92" s="78"/>
      <c r="U92" s="2"/>
      <c r="V92" s="186"/>
      <c r="W92" s="186"/>
      <c r="X92" s="186"/>
      <c r="Y92" s="27" t="s">
        <v>43</v>
      </c>
      <c r="AA92" s="197"/>
      <c r="AB92" s="197"/>
      <c r="AC92" s="197"/>
      <c r="AD92" s="197"/>
      <c r="AE92" s="27" t="s">
        <v>39</v>
      </c>
      <c r="AG92" s="197"/>
      <c r="AH92" s="197"/>
      <c r="AI92" s="197"/>
      <c r="AJ92" s="197"/>
      <c r="AK92" s="27" t="s">
        <v>37</v>
      </c>
      <c r="AP92" s="93">
        <f t="shared" si="0"/>
        <v>1</v>
      </c>
      <c r="AU92" s="27"/>
    </row>
    <row r="93" spans="1:47" ht="15" customHeight="1" x14ac:dyDescent="0.3">
      <c r="B93" s="246">
        <f>'Form 2D - Design'!S104</f>
        <v>0</v>
      </c>
      <c r="C93" s="246"/>
      <c r="D93" s="246"/>
      <c r="E93" s="27" t="s">
        <v>43</v>
      </c>
      <c r="G93" s="253">
        <f>'Form 2D - Design'!X104</f>
        <v>0</v>
      </c>
      <c r="H93" s="253"/>
      <c r="I93" s="253"/>
      <c r="J93" s="253"/>
      <c r="K93" s="27" t="s">
        <v>39</v>
      </c>
      <c r="M93" s="254">
        <f>'Form 2D - Design'!AC104</f>
        <v>0</v>
      </c>
      <c r="N93" s="254"/>
      <c r="O93" s="254"/>
      <c r="P93" s="254"/>
      <c r="Q93" s="27" t="s">
        <v>37</v>
      </c>
      <c r="S93" s="78"/>
      <c r="U93" s="2"/>
      <c r="V93" s="186"/>
      <c r="W93" s="186"/>
      <c r="X93" s="186"/>
      <c r="Y93" s="27" t="s">
        <v>43</v>
      </c>
      <c r="AA93" s="197"/>
      <c r="AB93" s="197"/>
      <c r="AC93" s="197"/>
      <c r="AD93" s="197"/>
      <c r="AE93" s="27" t="s">
        <v>39</v>
      </c>
      <c r="AG93" s="197"/>
      <c r="AH93" s="197"/>
      <c r="AI93" s="197"/>
      <c r="AJ93" s="197"/>
      <c r="AK93" s="27" t="s">
        <v>37</v>
      </c>
      <c r="AP93" s="93">
        <f t="shared" si="0"/>
        <v>1</v>
      </c>
      <c r="AU93" s="27"/>
    </row>
    <row r="94" spans="1:47" ht="15" customHeight="1" x14ac:dyDescent="0.3">
      <c r="B94" s="246">
        <f>'Form 2D - Design'!S105</f>
        <v>0</v>
      </c>
      <c r="C94" s="246"/>
      <c r="D94" s="246"/>
      <c r="E94" s="27" t="s">
        <v>43</v>
      </c>
      <c r="G94" s="253">
        <f>'Form 2D - Design'!X105</f>
        <v>0</v>
      </c>
      <c r="H94" s="253"/>
      <c r="I94" s="253"/>
      <c r="J94" s="253"/>
      <c r="K94" s="27" t="s">
        <v>39</v>
      </c>
      <c r="M94" s="254">
        <f>'Form 2D - Design'!AC105</f>
        <v>0</v>
      </c>
      <c r="N94" s="254"/>
      <c r="O94" s="254"/>
      <c r="P94" s="254"/>
      <c r="Q94" s="27" t="s">
        <v>37</v>
      </c>
      <c r="S94" s="78"/>
      <c r="U94" s="2"/>
      <c r="V94" s="186"/>
      <c r="W94" s="186"/>
      <c r="X94" s="186"/>
      <c r="Y94" s="27" t="s">
        <v>43</v>
      </c>
      <c r="AA94" s="197"/>
      <c r="AB94" s="197"/>
      <c r="AC94" s="197"/>
      <c r="AD94" s="197"/>
      <c r="AE94" s="27" t="s">
        <v>39</v>
      </c>
      <c r="AG94" s="197"/>
      <c r="AH94" s="197"/>
      <c r="AI94" s="197"/>
      <c r="AJ94" s="197"/>
      <c r="AK94" s="27" t="s">
        <v>37</v>
      </c>
      <c r="AP94" s="93">
        <f t="shared" si="0"/>
        <v>1</v>
      </c>
      <c r="AU94" s="27"/>
    </row>
    <row r="95" spans="1:47" ht="15" customHeight="1" x14ac:dyDescent="0.3">
      <c r="B95" s="246">
        <f>'Form 2D - Design'!S106</f>
        <v>0</v>
      </c>
      <c r="C95" s="246"/>
      <c r="D95" s="246"/>
      <c r="E95" s="27" t="s">
        <v>43</v>
      </c>
      <c r="G95" s="253">
        <f>'Form 2D - Design'!X106</f>
        <v>0</v>
      </c>
      <c r="H95" s="253"/>
      <c r="I95" s="253"/>
      <c r="J95" s="253"/>
      <c r="K95" s="27" t="s">
        <v>39</v>
      </c>
      <c r="M95" s="254">
        <f>'Form 2D - Design'!AC106</f>
        <v>0</v>
      </c>
      <c r="N95" s="254"/>
      <c r="O95" s="254"/>
      <c r="P95" s="254"/>
      <c r="Q95" s="27" t="s">
        <v>37</v>
      </c>
      <c r="S95" s="78"/>
      <c r="U95" s="2"/>
      <c r="V95" s="186"/>
      <c r="W95" s="186"/>
      <c r="X95" s="186"/>
      <c r="Y95" s="27" t="s">
        <v>43</v>
      </c>
      <c r="AA95" s="197"/>
      <c r="AB95" s="197"/>
      <c r="AC95" s="197"/>
      <c r="AD95" s="197"/>
      <c r="AE95" s="27" t="s">
        <v>39</v>
      </c>
      <c r="AG95" s="197"/>
      <c r="AH95" s="197"/>
      <c r="AI95" s="197"/>
      <c r="AJ95" s="197"/>
      <c r="AK95" s="27" t="s">
        <v>37</v>
      </c>
      <c r="AP95" s="93">
        <f t="shared" si="0"/>
        <v>1</v>
      </c>
      <c r="AU95" s="27"/>
    </row>
    <row r="96" spans="1:47" ht="15" customHeight="1" x14ac:dyDescent="0.3">
      <c r="B96" s="246">
        <f>'Form 2D - Design'!S107</f>
        <v>0</v>
      </c>
      <c r="C96" s="246"/>
      <c r="D96" s="246"/>
      <c r="E96" s="27" t="s">
        <v>43</v>
      </c>
      <c r="G96" s="253">
        <f>'Form 2D - Design'!X107</f>
        <v>0</v>
      </c>
      <c r="H96" s="253"/>
      <c r="I96" s="253"/>
      <c r="J96" s="253"/>
      <c r="K96" s="27" t="s">
        <v>39</v>
      </c>
      <c r="M96" s="254">
        <f>'Form 2D - Design'!AC107</f>
        <v>0</v>
      </c>
      <c r="N96" s="254"/>
      <c r="O96" s="254"/>
      <c r="P96" s="254"/>
      <c r="Q96" s="27" t="s">
        <v>37</v>
      </c>
      <c r="S96" s="78"/>
      <c r="U96" s="2"/>
      <c r="V96" s="186"/>
      <c r="W96" s="186"/>
      <c r="X96" s="186"/>
      <c r="Y96" s="27" t="s">
        <v>43</v>
      </c>
      <c r="AA96" s="197"/>
      <c r="AB96" s="197"/>
      <c r="AC96" s="197"/>
      <c r="AD96" s="197"/>
      <c r="AE96" s="27" t="s">
        <v>39</v>
      </c>
      <c r="AG96" s="197"/>
      <c r="AH96" s="197"/>
      <c r="AI96" s="197"/>
      <c r="AJ96" s="197"/>
      <c r="AK96" s="27" t="s">
        <v>37</v>
      </c>
      <c r="AP96" s="93">
        <f t="shared" si="0"/>
        <v>1</v>
      </c>
      <c r="AU96" s="27"/>
    </row>
    <row r="97" spans="1:58" ht="15" customHeight="1" x14ac:dyDescent="0.3">
      <c r="B97" s="246">
        <f>'Form 2D - Design'!S108</f>
        <v>0</v>
      </c>
      <c r="C97" s="246"/>
      <c r="D97" s="246"/>
      <c r="E97" s="27" t="s">
        <v>43</v>
      </c>
      <c r="G97" s="253">
        <f>'Form 2D - Design'!X108</f>
        <v>0</v>
      </c>
      <c r="H97" s="253"/>
      <c r="I97" s="253"/>
      <c r="J97" s="253"/>
      <c r="K97" s="27" t="s">
        <v>39</v>
      </c>
      <c r="M97" s="254">
        <f>'Form 2D - Design'!AC108</f>
        <v>0</v>
      </c>
      <c r="N97" s="254"/>
      <c r="O97" s="254"/>
      <c r="P97" s="254"/>
      <c r="Q97" s="27" t="s">
        <v>37</v>
      </c>
      <c r="S97" s="78"/>
      <c r="U97" s="2"/>
      <c r="V97" s="186"/>
      <c r="W97" s="186"/>
      <c r="X97" s="186"/>
      <c r="Y97" s="27" t="s">
        <v>43</v>
      </c>
      <c r="AA97" s="197"/>
      <c r="AB97" s="197"/>
      <c r="AC97" s="197"/>
      <c r="AD97" s="197"/>
      <c r="AE97" s="27" t="s">
        <v>39</v>
      </c>
      <c r="AG97" s="197"/>
      <c r="AH97" s="197"/>
      <c r="AI97" s="197"/>
      <c r="AJ97" s="197"/>
      <c r="AK97" s="27" t="s">
        <v>37</v>
      </c>
      <c r="AP97" s="93">
        <f t="shared" si="0"/>
        <v>1</v>
      </c>
      <c r="AU97" s="27"/>
    </row>
    <row r="98" spans="1:58" ht="15" customHeight="1" x14ac:dyDescent="0.3">
      <c r="B98" s="246">
        <f>'Form 2D - Design'!S109</f>
        <v>0</v>
      </c>
      <c r="C98" s="246"/>
      <c r="D98" s="246"/>
      <c r="E98" s="27" t="s">
        <v>43</v>
      </c>
      <c r="G98" s="253">
        <f>'Form 2D - Design'!X109</f>
        <v>0</v>
      </c>
      <c r="H98" s="253"/>
      <c r="I98" s="253"/>
      <c r="J98" s="253"/>
      <c r="K98" s="27" t="s">
        <v>39</v>
      </c>
      <c r="M98" s="254">
        <f>'Form 2D - Design'!AC109</f>
        <v>0</v>
      </c>
      <c r="N98" s="254"/>
      <c r="O98" s="254"/>
      <c r="P98" s="254"/>
      <c r="Q98" s="27" t="s">
        <v>37</v>
      </c>
      <c r="S98" s="78"/>
      <c r="U98" s="2"/>
      <c r="V98" s="186"/>
      <c r="W98" s="186"/>
      <c r="X98" s="186"/>
      <c r="Y98" s="27" t="s">
        <v>43</v>
      </c>
      <c r="AA98" s="197"/>
      <c r="AB98" s="197"/>
      <c r="AC98" s="197"/>
      <c r="AD98" s="197"/>
      <c r="AE98" s="27" t="s">
        <v>39</v>
      </c>
      <c r="AG98" s="197"/>
      <c r="AH98" s="197"/>
      <c r="AI98" s="197"/>
      <c r="AJ98" s="197"/>
      <c r="AK98" s="27" t="s">
        <v>37</v>
      </c>
      <c r="AP98" s="93">
        <f t="shared" si="0"/>
        <v>1</v>
      </c>
      <c r="AU98" s="27"/>
    </row>
    <row r="99" spans="1:58" ht="15" customHeight="1" x14ac:dyDescent="0.3">
      <c r="H99" s="29"/>
      <c r="J99" s="33"/>
      <c r="K99" s="33"/>
      <c r="L99" s="33"/>
      <c r="N99" s="36"/>
      <c r="O99" s="36"/>
      <c r="P99" s="36"/>
      <c r="Q99" s="36"/>
      <c r="W99" s="29"/>
      <c r="X99" s="29"/>
      <c r="Y99" s="29"/>
      <c r="AA99" s="33"/>
      <c r="AB99" s="33"/>
      <c r="AC99" s="33"/>
      <c r="AE99" s="36"/>
      <c r="AF99" s="36"/>
      <c r="AG99" s="36"/>
      <c r="AH99" s="36"/>
      <c r="AU99" s="27"/>
    </row>
    <row r="100" spans="1:58" ht="15" customHeight="1" x14ac:dyDescent="0.3">
      <c r="H100" s="29"/>
      <c r="J100" s="33"/>
      <c r="K100" s="33"/>
      <c r="L100" s="33"/>
      <c r="N100" s="36"/>
      <c r="O100" s="36"/>
      <c r="P100" s="36"/>
      <c r="Q100" s="36"/>
      <c r="W100" s="29"/>
      <c r="X100" s="29"/>
      <c r="Y100" s="29"/>
      <c r="AA100" s="33"/>
      <c r="AB100" s="33"/>
      <c r="AC100" s="33"/>
      <c r="AE100" s="36"/>
      <c r="AF100" s="36"/>
      <c r="AG100" s="36"/>
      <c r="AH100" s="36"/>
      <c r="AU100" s="27"/>
    </row>
    <row r="101" spans="1:58" ht="15" customHeight="1" x14ac:dyDescent="0.3">
      <c r="H101" s="29"/>
      <c r="J101" s="33"/>
      <c r="K101" s="33"/>
      <c r="L101" s="33"/>
      <c r="N101" s="36"/>
      <c r="O101" s="36"/>
      <c r="P101" s="36"/>
      <c r="Q101" s="36"/>
      <c r="W101" s="29"/>
      <c r="X101" s="29"/>
      <c r="Y101" s="29"/>
      <c r="AA101" s="33"/>
      <c r="AB101" s="33"/>
      <c r="AC101" s="33"/>
      <c r="AE101" s="36"/>
      <c r="AF101" s="36"/>
      <c r="AG101" s="36"/>
      <c r="AH101" s="36"/>
      <c r="AU101" s="27"/>
    </row>
    <row r="102" spans="1:58" ht="15" customHeight="1" x14ac:dyDescent="0.3">
      <c r="H102" s="29"/>
      <c r="J102" s="33"/>
      <c r="K102" s="33"/>
      <c r="L102" s="33"/>
      <c r="N102" s="36"/>
      <c r="O102" s="36"/>
      <c r="P102" s="36"/>
      <c r="Q102" s="36"/>
      <c r="W102" s="29"/>
      <c r="X102" s="29"/>
      <c r="Y102" s="29"/>
      <c r="AA102" s="33"/>
      <c r="AB102" s="33"/>
      <c r="AC102" s="33"/>
      <c r="AE102" s="36"/>
      <c r="AF102" s="36"/>
      <c r="AG102" s="36"/>
      <c r="AH102" s="36"/>
      <c r="AU102" s="27"/>
    </row>
    <row r="103" spans="1:58" ht="15" customHeight="1" x14ac:dyDescent="0.3">
      <c r="AK103" s="29"/>
      <c r="AU103" s="27"/>
    </row>
    <row r="104" spans="1:58" ht="15" customHeight="1" x14ac:dyDescent="0.3">
      <c r="B104" s="179">
        <f>Tables!$F$13</f>
        <v>45931</v>
      </c>
      <c r="C104" s="179"/>
      <c r="D104" s="179"/>
      <c r="E104" s="179"/>
      <c r="F104" s="179"/>
      <c r="G104" s="179"/>
      <c r="H104" s="179"/>
      <c r="R104" s="180" t="s">
        <v>411</v>
      </c>
      <c r="S104" s="180"/>
      <c r="T104" s="180"/>
      <c r="U104" s="180"/>
      <c r="AK104" s="29"/>
      <c r="AU104" s="27"/>
    </row>
    <row r="105" spans="1:58" ht="15" customHeight="1" x14ac:dyDescent="0.3">
      <c r="C105" s="2" t="s">
        <v>1</v>
      </c>
      <c r="D105" s="182">
        <f>IF(ISBLANK($E$7),"",$E$7)</f>
        <v>0</v>
      </c>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34"/>
      <c r="AB105" s="34"/>
      <c r="AC105" s="34"/>
      <c r="AF105" s="2" t="s">
        <v>21</v>
      </c>
      <c r="AG105" s="183">
        <f>$AF$7</f>
        <v>0</v>
      </c>
      <c r="AH105" s="183"/>
      <c r="AI105" s="183"/>
      <c r="AJ105" s="183"/>
      <c r="AK105" s="183"/>
      <c r="AU105" s="27"/>
    </row>
    <row r="106" spans="1:58" ht="15" customHeight="1" x14ac:dyDescent="0.3">
      <c r="H106" s="35"/>
      <c r="I106" s="35"/>
      <c r="J106" s="2"/>
      <c r="K106" s="2"/>
      <c r="L106" s="2"/>
      <c r="M106" s="35"/>
      <c r="N106" s="34"/>
      <c r="O106" s="34"/>
      <c r="P106" s="34"/>
      <c r="Q106" s="34"/>
      <c r="R106" s="34"/>
      <c r="S106" s="34"/>
      <c r="T106" s="34"/>
      <c r="U106" s="34"/>
      <c r="V106" s="34"/>
      <c r="W106" s="34"/>
      <c r="X106" s="34"/>
      <c r="Y106" s="34"/>
      <c r="Z106" s="34"/>
      <c r="AA106" s="34"/>
      <c r="AB106" s="34"/>
      <c r="AC106" s="34"/>
      <c r="AF106" s="2" t="s">
        <v>34</v>
      </c>
      <c r="AG106" s="241">
        <f>IF(ISBLANK($AF$8),"",$AF$8)</f>
        <v>0</v>
      </c>
      <c r="AH106" s="241"/>
      <c r="AI106" s="241"/>
      <c r="AJ106" s="241"/>
      <c r="AK106" s="241"/>
      <c r="AU106" s="27"/>
    </row>
    <row r="107" spans="1:58" ht="4.95" customHeight="1" x14ac:dyDescent="0.3">
      <c r="H107" s="29"/>
      <c r="J107" s="33"/>
      <c r="K107" s="33"/>
      <c r="L107" s="33"/>
      <c r="N107" s="36"/>
      <c r="O107" s="36"/>
      <c r="P107" s="36"/>
      <c r="Q107" s="36"/>
      <c r="W107" s="29"/>
      <c r="X107" s="29"/>
      <c r="Y107" s="29"/>
      <c r="AA107" s="33"/>
      <c r="AB107" s="33"/>
      <c r="AC107" s="33"/>
      <c r="AE107" s="36"/>
      <c r="AF107" s="36"/>
      <c r="AG107" s="36"/>
      <c r="AH107" s="36"/>
      <c r="AU107" s="27"/>
    </row>
    <row r="108" spans="1:58" ht="15" customHeight="1" x14ac:dyDescent="0.3">
      <c r="A108" s="245" t="s">
        <v>205</v>
      </c>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95"/>
      <c r="AN108" s="95"/>
      <c r="AU108" s="27"/>
    </row>
    <row r="109" spans="1:58" ht="30" customHeight="1" x14ac:dyDescent="0.3">
      <c r="B109" s="1" t="s">
        <v>56</v>
      </c>
      <c r="I109" s="258" t="s">
        <v>122</v>
      </c>
      <c r="J109" s="258"/>
      <c r="K109" s="258"/>
      <c r="L109" s="258"/>
      <c r="M109" s="1"/>
      <c r="N109" s="258" t="s">
        <v>209</v>
      </c>
      <c r="O109" s="258"/>
      <c r="P109" s="258"/>
      <c r="Q109" s="258"/>
      <c r="S109" s="258" t="s">
        <v>210</v>
      </c>
      <c r="T109" s="258"/>
      <c r="U109" s="258"/>
      <c r="V109" s="258"/>
      <c r="X109" s="258" t="s">
        <v>326</v>
      </c>
      <c r="Y109" s="258"/>
      <c r="Z109" s="258"/>
      <c r="AA109" s="258"/>
      <c r="AC109" s="258" t="s">
        <v>284</v>
      </c>
      <c r="AD109" s="258"/>
      <c r="AE109" s="258"/>
      <c r="AF109" s="258"/>
      <c r="AH109" s="258" t="s">
        <v>123</v>
      </c>
      <c r="AI109" s="258"/>
      <c r="AJ109" s="258"/>
      <c r="AK109" s="258"/>
      <c r="AM109" s="11" t="s">
        <v>389</v>
      </c>
      <c r="AN109" s="11" t="s">
        <v>363</v>
      </c>
      <c r="AO109" s="21" t="s">
        <v>433</v>
      </c>
      <c r="AQ109" s="99">
        <f>Tables!F26</f>
        <v>6</v>
      </c>
      <c r="AR109" s="11" t="s">
        <v>333</v>
      </c>
      <c r="AY109" s="26"/>
      <c r="AZ109" s="26"/>
      <c r="BA109" s="26"/>
      <c r="BB109" s="26"/>
      <c r="BC109" s="26"/>
      <c r="BD109" s="26"/>
      <c r="BE109" s="26"/>
      <c r="BF109" s="26"/>
    </row>
    <row r="110" spans="1:58" ht="15" customHeight="1" x14ac:dyDescent="0.3">
      <c r="C110" s="200">
        <f>Tables!$F$16</f>
        <v>4.21</v>
      </c>
      <c r="D110" s="200"/>
      <c r="G110" s="2" t="str">
        <f>Tables!$D$16</f>
        <v>(2-yr)</v>
      </c>
      <c r="I110" s="206">
        <f>'Form 2D - Design'!M118</f>
        <v>0</v>
      </c>
      <c r="J110" s="206"/>
      <c r="K110" s="206"/>
      <c r="L110" s="206"/>
      <c r="N110" s="230">
        <f>'Form 2D - Design'!Q118</f>
        <v>0</v>
      </c>
      <c r="O110" s="230"/>
      <c r="P110" s="230"/>
      <c r="Q110" s="230"/>
      <c r="S110" s="230">
        <f>'Form 2D - Design'!U118</f>
        <v>0</v>
      </c>
      <c r="T110" s="230"/>
      <c r="U110" s="230"/>
      <c r="V110" s="230"/>
      <c r="X110" s="230">
        <f>'Form 2D - Design'!Y118</f>
        <v>0</v>
      </c>
      <c r="Y110" s="230"/>
      <c r="Z110" s="230"/>
      <c r="AA110" s="230"/>
      <c r="AC110" s="230">
        <f>'Form 2D - Design'!AC118</f>
        <v>0</v>
      </c>
      <c r="AD110" s="230"/>
      <c r="AE110" s="230"/>
      <c r="AF110" s="230"/>
      <c r="AH110" s="230">
        <f>'Form 2D - Design'!AG118</f>
        <v>0</v>
      </c>
      <c r="AI110" s="230"/>
      <c r="AJ110" s="230"/>
      <c r="AK110" s="230"/>
      <c r="AM110" s="93">
        <f>IF(AH110&gt;I110,1,0)</f>
        <v>0</v>
      </c>
      <c r="AN110" s="93">
        <f>IF(OR($AR$111=0,$AR$113=2),0,IF($AH110&gt;$AR$111,1,0))</f>
        <v>0</v>
      </c>
      <c r="AO110" s="93">
        <f>IF(OR($AR$112=0,$AR$113=2),0,IF($AH110&gt;$AR$112,1,0))</f>
        <v>0</v>
      </c>
      <c r="AQ110" s="21" t="s">
        <v>430</v>
      </c>
      <c r="AR110" s="21" t="s">
        <v>145</v>
      </c>
      <c r="AX110"/>
      <c r="AY110" s="26"/>
      <c r="AZ110" s="26"/>
      <c r="BA110" s="26"/>
      <c r="BB110" s="26"/>
      <c r="BC110" s="26"/>
      <c r="BD110" s="26"/>
      <c r="BE110" s="26"/>
      <c r="BF110" s="26"/>
    </row>
    <row r="111" spans="1:58" ht="15" customHeight="1" x14ac:dyDescent="0.3">
      <c r="C111" s="200">
        <f>Tables!$F$17</f>
        <v>5.24</v>
      </c>
      <c r="D111" s="200"/>
      <c r="G111" s="2" t="str">
        <f>Tables!$D$17</f>
        <v>(5-yr)</v>
      </c>
      <c r="I111" s="206">
        <f>'Form 2D - Design'!M119</f>
        <v>0</v>
      </c>
      <c r="J111" s="206"/>
      <c r="K111" s="206"/>
      <c r="L111" s="206"/>
      <c r="N111" s="259">
        <f>'Form 2D - Design'!Q119</f>
        <v>0</v>
      </c>
      <c r="O111" s="259"/>
      <c r="P111" s="259"/>
      <c r="Q111" s="259"/>
      <c r="S111" s="259">
        <f>'Form 2D - Design'!U119</f>
        <v>0</v>
      </c>
      <c r="T111" s="259"/>
      <c r="U111" s="259"/>
      <c r="V111" s="259"/>
      <c r="X111" s="259">
        <f>'Form 2D - Design'!Y119</f>
        <v>0</v>
      </c>
      <c r="Y111" s="259"/>
      <c r="Z111" s="259"/>
      <c r="AA111" s="259"/>
      <c r="AC111" s="259">
        <f>'Form 2D - Design'!AC119</f>
        <v>0</v>
      </c>
      <c r="AD111" s="259"/>
      <c r="AE111" s="259"/>
      <c r="AF111" s="259"/>
      <c r="AH111" s="259">
        <f>'Form 2D - Design'!AG119</f>
        <v>0</v>
      </c>
      <c r="AI111" s="259"/>
      <c r="AJ111" s="259"/>
      <c r="AK111" s="259"/>
      <c r="AM111" s="93">
        <f t="shared" ref="AM111:AM115" si="1">IF(AH111&gt;I111,1,0)</f>
        <v>0</v>
      </c>
      <c r="AN111" s="93">
        <f t="shared" ref="AN111:AN115" si="2">IF(OR($AR$111=0,$AR$113=2),0,IF($AH111&gt;$AR$111,1,0))</f>
        <v>0</v>
      </c>
      <c r="AO111" s="93">
        <f t="shared" ref="AO111:AO114" si="3">IF(OR($AR$112=0,$AR$113=2),0,IF($AH111&gt;$AR$112,1,0))</f>
        <v>0</v>
      </c>
      <c r="AP111" s="118">
        <f>IF(AP114="Yes",'Form 2D - Design'!AM135,1)</f>
        <v>1</v>
      </c>
      <c r="AQ111" s="93" t="str">
        <f>'Form 2D - Design'!AO135</f>
        <v>No</v>
      </c>
      <c r="AR111" s="99">
        <f>'Form 2D - Design'!AN135</f>
        <v>0</v>
      </c>
      <c r="AS111" s="51" t="s">
        <v>363</v>
      </c>
      <c r="AX111" s="26"/>
      <c r="AY111" s="26"/>
      <c r="AZ111" s="26"/>
      <c r="BA111" s="26"/>
      <c r="BB111" s="26"/>
      <c r="BC111" s="26"/>
      <c r="BD111" s="26"/>
      <c r="BE111" s="26"/>
      <c r="BF111" s="26"/>
    </row>
    <row r="112" spans="1:58" ht="15" customHeight="1" x14ac:dyDescent="0.3">
      <c r="C112" s="200">
        <f>Tables!$F$18</f>
        <v>6.17</v>
      </c>
      <c r="D112" s="200"/>
      <c r="G112" s="2" t="str">
        <f>Tables!$D$18</f>
        <v>(10-yr)</v>
      </c>
      <c r="I112" s="206">
        <f>'Form 2D - Design'!M120</f>
        <v>0</v>
      </c>
      <c r="J112" s="206"/>
      <c r="K112" s="206"/>
      <c r="L112" s="206"/>
      <c r="N112" s="259">
        <f>'Form 2D - Design'!Q120</f>
        <v>0</v>
      </c>
      <c r="O112" s="259"/>
      <c r="P112" s="259"/>
      <c r="Q112" s="259"/>
      <c r="S112" s="259">
        <f>'Form 2D - Design'!U120</f>
        <v>0</v>
      </c>
      <c r="T112" s="259"/>
      <c r="U112" s="259"/>
      <c r="V112" s="259"/>
      <c r="X112" s="259">
        <f>'Form 2D - Design'!Y120</f>
        <v>0</v>
      </c>
      <c r="Y112" s="259"/>
      <c r="Z112" s="259"/>
      <c r="AA112" s="259"/>
      <c r="AC112" s="259">
        <f>'Form 2D - Design'!AC120</f>
        <v>0</v>
      </c>
      <c r="AD112" s="259"/>
      <c r="AE112" s="259"/>
      <c r="AF112" s="259"/>
      <c r="AH112" s="259">
        <f>'Form 2D - Design'!AG120</f>
        <v>0</v>
      </c>
      <c r="AI112" s="259"/>
      <c r="AJ112" s="259"/>
      <c r="AK112" s="259"/>
      <c r="AM112" s="93">
        <f t="shared" si="1"/>
        <v>0</v>
      </c>
      <c r="AN112" s="93">
        <f t="shared" si="2"/>
        <v>0</v>
      </c>
      <c r="AO112" s="93">
        <f t="shared" si="3"/>
        <v>0</v>
      </c>
      <c r="AP112" s="118">
        <f>IF(AP114="Yes",'Form 2D - Design'!AM137,1)</f>
        <v>1</v>
      </c>
      <c r="AQ112" s="93" t="str">
        <f>'Form 2D - Design'!AO137</f>
        <v>Yes</v>
      </c>
      <c r="AR112" s="99">
        <f>'Form 2D - Design'!AN137</f>
        <v>0</v>
      </c>
      <c r="AS112" s="51" t="s">
        <v>392</v>
      </c>
      <c r="AU112" s="25"/>
      <c r="AX112" s="26"/>
      <c r="AY112" s="26"/>
      <c r="AZ112" s="26"/>
      <c r="BA112" s="26"/>
      <c r="BB112" s="26"/>
      <c r="BC112" s="26"/>
      <c r="BD112" s="26"/>
      <c r="BE112" s="26"/>
      <c r="BF112" s="26"/>
    </row>
    <row r="113" spans="2:58" ht="15" customHeight="1" x14ac:dyDescent="0.3">
      <c r="C113" s="200">
        <f>Tables!$F$19</f>
        <v>7.55</v>
      </c>
      <c r="D113" s="200"/>
      <c r="G113" s="2" t="str">
        <f>Tables!$D$19</f>
        <v>(25-yr)</v>
      </c>
      <c r="I113" s="206">
        <f>'Form 2D - Design'!M121</f>
        <v>0</v>
      </c>
      <c r="J113" s="206"/>
      <c r="K113" s="206"/>
      <c r="L113" s="206"/>
      <c r="N113" s="259">
        <f>'Form 2D - Design'!Q121</f>
        <v>0</v>
      </c>
      <c r="O113" s="259"/>
      <c r="P113" s="259"/>
      <c r="Q113" s="259"/>
      <c r="S113" s="259">
        <f>'Form 2D - Design'!U121</f>
        <v>0</v>
      </c>
      <c r="T113" s="259"/>
      <c r="U113" s="259"/>
      <c r="V113" s="259"/>
      <c r="X113" s="259">
        <f>'Form 2D - Design'!Y121</f>
        <v>0</v>
      </c>
      <c r="Y113" s="259"/>
      <c r="Z113" s="259"/>
      <c r="AA113" s="259"/>
      <c r="AC113" s="259">
        <f>'Form 2D - Design'!AC121</f>
        <v>0</v>
      </c>
      <c r="AD113" s="259"/>
      <c r="AE113" s="259"/>
      <c r="AF113" s="259"/>
      <c r="AH113" s="259">
        <f>'Form 2D - Design'!AG121</f>
        <v>0</v>
      </c>
      <c r="AI113" s="259"/>
      <c r="AJ113" s="259"/>
      <c r="AK113" s="259"/>
      <c r="AM113" s="93">
        <f t="shared" si="1"/>
        <v>0</v>
      </c>
      <c r="AN113" s="93">
        <f t="shared" si="2"/>
        <v>0</v>
      </c>
      <c r="AO113" s="93">
        <f t="shared" si="3"/>
        <v>0</v>
      </c>
      <c r="AP113" s="125">
        <f>'Form 2D - Design'!AN135</f>
        <v>0</v>
      </c>
      <c r="AR113" s="93">
        <f>'Form 2D - Design'!AN153</f>
        <v>1</v>
      </c>
      <c r="AS113" s="11" t="s">
        <v>469</v>
      </c>
      <c r="AU113" s="25"/>
      <c r="AY113" s="26"/>
      <c r="AZ113" s="26"/>
      <c r="BA113" s="26"/>
      <c r="BB113" s="26"/>
      <c r="BC113" s="26"/>
      <c r="BD113" s="26"/>
      <c r="BE113" s="26"/>
      <c r="BF113" s="26"/>
    </row>
    <row r="114" spans="2:58" ht="15" customHeight="1" x14ac:dyDescent="0.3">
      <c r="C114" s="200">
        <f>Tables!$F$20</f>
        <v>8.6999999999999993</v>
      </c>
      <c r="D114" s="200"/>
      <c r="G114" s="2" t="str">
        <f>Tables!$D$20</f>
        <v>(50-yr)</v>
      </c>
      <c r="I114" s="206">
        <f>'Form 2D - Design'!M122</f>
        <v>0</v>
      </c>
      <c r="J114" s="206"/>
      <c r="K114" s="206"/>
      <c r="L114" s="206"/>
      <c r="N114" s="259">
        <f>'Form 2D - Design'!Q122</f>
        <v>0</v>
      </c>
      <c r="O114" s="259"/>
      <c r="P114" s="259"/>
      <c r="Q114" s="259"/>
      <c r="S114" s="259">
        <f>'Form 2D - Design'!U122</f>
        <v>0</v>
      </c>
      <c r="T114" s="259"/>
      <c r="U114" s="259"/>
      <c r="V114" s="259"/>
      <c r="X114" s="259">
        <f>'Form 2D - Design'!Y122</f>
        <v>0</v>
      </c>
      <c r="Y114" s="259"/>
      <c r="Z114" s="259"/>
      <c r="AA114" s="259"/>
      <c r="AC114" s="259">
        <f>'Form 2D - Design'!AC122</f>
        <v>0</v>
      </c>
      <c r="AD114" s="259"/>
      <c r="AE114" s="259"/>
      <c r="AF114" s="259"/>
      <c r="AH114" s="259">
        <f>'Form 2D - Design'!AG122</f>
        <v>0</v>
      </c>
      <c r="AI114" s="259"/>
      <c r="AJ114" s="259"/>
      <c r="AK114" s="259"/>
      <c r="AM114" s="93">
        <f t="shared" si="1"/>
        <v>0</v>
      </c>
      <c r="AN114" s="93">
        <f t="shared" si="2"/>
        <v>0</v>
      </c>
      <c r="AO114" s="93">
        <f t="shared" si="3"/>
        <v>0</v>
      </c>
      <c r="AP114" s="118" t="str">
        <f>'Form 2D - Design'!AO135</f>
        <v>No</v>
      </c>
      <c r="AU114" s="25"/>
      <c r="AY114" s="26"/>
      <c r="AZ114" s="26"/>
      <c r="BA114" s="26"/>
      <c r="BB114" s="26"/>
      <c r="BC114" s="26"/>
      <c r="BD114" s="26"/>
      <c r="BE114" s="26"/>
      <c r="BF114" s="26"/>
    </row>
    <row r="115" spans="2:58" ht="15" customHeight="1" x14ac:dyDescent="0.3">
      <c r="C115" s="200">
        <f>Tables!$F$21</f>
        <v>9.93</v>
      </c>
      <c r="D115" s="200"/>
      <c r="G115" s="2" t="str">
        <f>Tables!$D$21</f>
        <v>(100-yr)</v>
      </c>
      <c r="I115" s="206">
        <f>'Form 2D - Design'!M123</f>
        <v>0</v>
      </c>
      <c r="J115" s="206"/>
      <c r="K115" s="206"/>
      <c r="L115" s="206"/>
      <c r="N115" s="259">
        <f>'Form 2D - Design'!Q123</f>
        <v>0</v>
      </c>
      <c r="O115" s="259"/>
      <c r="P115" s="259"/>
      <c r="Q115" s="259"/>
      <c r="S115" s="259">
        <f>'Form 2D - Design'!U123</f>
        <v>0</v>
      </c>
      <c r="T115" s="259"/>
      <c r="U115" s="259"/>
      <c r="V115" s="259"/>
      <c r="X115" s="259">
        <f>'Form 2D - Design'!Y123</f>
        <v>0</v>
      </c>
      <c r="Y115" s="259"/>
      <c r="Z115" s="259"/>
      <c r="AA115" s="259"/>
      <c r="AC115" s="259">
        <f>'Form 2D - Design'!AC123</f>
        <v>0</v>
      </c>
      <c r="AD115" s="259"/>
      <c r="AE115" s="259"/>
      <c r="AF115" s="259"/>
      <c r="AH115" s="259">
        <f>'Form 2D - Design'!AG123</f>
        <v>0</v>
      </c>
      <c r="AI115" s="259"/>
      <c r="AJ115" s="259"/>
      <c r="AK115" s="259"/>
      <c r="AM115" s="93">
        <f t="shared" si="1"/>
        <v>0</v>
      </c>
      <c r="AN115" s="93">
        <f t="shared" si="2"/>
        <v>0</v>
      </c>
      <c r="AO115" s="93">
        <f>IF($AP$112=1,0,IF($AH115&gt;$AR$112,1,0))</f>
        <v>0</v>
      </c>
      <c r="AU115" s="25"/>
      <c r="AY115" s="26"/>
      <c r="AZ115" s="26"/>
      <c r="BA115" s="26"/>
      <c r="BB115" s="26"/>
      <c r="BC115" s="26"/>
      <c r="BD115" s="26"/>
      <c r="BE115" s="26"/>
      <c r="BF115" s="26"/>
    </row>
    <row r="116" spans="2:58" ht="30" customHeight="1" x14ac:dyDescent="0.3">
      <c r="B116" s="1" t="s">
        <v>57</v>
      </c>
      <c r="I116" s="258" t="s">
        <v>122</v>
      </c>
      <c r="J116" s="258"/>
      <c r="K116" s="258"/>
      <c r="L116" s="258"/>
      <c r="M116" s="37"/>
      <c r="N116" s="258" t="s">
        <v>209</v>
      </c>
      <c r="O116" s="258"/>
      <c r="P116" s="258"/>
      <c r="Q116" s="258"/>
      <c r="S116" s="258" t="s">
        <v>210</v>
      </c>
      <c r="T116" s="258"/>
      <c r="U116" s="258"/>
      <c r="V116" s="258"/>
      <c r="X116" s="258" t="s">
        <v>326</v>
      </c>
      <c r="Y116" s="258"/>
      <c r="Z116" s="258"/>
      <c r="AA116" s="258"/>
      <c r="AC116" s="258" t="s">
        <v>284</v>
      </c>
      <c r="AD116" s="258"/>
      <c r="AE116" s="258"/>
      <c r="AF116" s="258"/>
      <c r="AH116" s="258" t="s">
        <v>123</v>
      </c>
      <c r="AI116" s="258"/>
      <c r="AJ116" s="258"/>
      <c r="AK116" s="258"/>
      <c r="AM116" s="93">
        <f>SUM(AM117:AM122)</f>
        <v>6</v>
      </c>
      <c r="AN116" s="93">
        <f>SUM(AN117:AN122)</f>
        <v>6</v>
      </c>
      <c r="AO116" s="93">
        <f>SUM(AO117:AO121)</f>
        <v>5</v>
      </c>
      <c r="AP116" s="93">
        <f>SUM(AP117:AP122)</f>
        <v>6</v>
      </c>
      <c r="AQ116" s="93">
        <f t="shared" ref="AQ116:AR116" si="4">SUM(AQ117:AQ122)</f>
        <v>0</v>
      </c>
      <c r="AR116" s="93">
        <f t="shared" si="4"/>
        <v>0</v>
      </c>
      <c r="AS116" s="93">
        <f>SUM(AS117:AS122)</f>
        <v>6</v>
      </c>
      <c r="AU116" s="25"/>
      <c r="AY116" s="26"/>
      <c r="AZ116" s="26"/>
      <c r="BA116" s="26"/>
      <c r="BB116" s="26"/>
      <c r="BC116" s="26"/>
      <c r="BD116" s="26"/>
      <c r="BE116" s="26"/>
      <c r="BF116" s="26"/>
    </row>
    <row r="117" spans="2:58" ht="15" customHeight="1" x14ac:dyDescent="0.3">
      <c r="C117" s="200">
        <f>Tables!$F$16</f>
        <v>4.21</v>
      </c>
      <c r="D117" s="200"/>
      <c r="G117" s="2" t="str">
        <f>Tables!$D$16</f>
        <v>(2-yr)</v>
      </c>
      <c r="I117" s="191"/>
      <c r="J117" s="191"/>
      <c r="K117" s="191"/>
      <c r="L117" s="191"/>
      <c r="N117" s="191"/>
      <c r="O117" s="191"/>
      <c r="P117" s="191"/>
      <c r="Q117" s="191"/>
      <c r="S117" s="191"/>
      <c r="T117" s="191"/>
      <c r="U117" s="191"/>
      <c r="V117" s="191"/>
      <c r="X117" s="191"/>
      <c r="Y117" s="191"/>
      <c r="Z117" s="191"/>
      <c r="AA117" s="191"/>
      <c r="AC117" s="191"/>
      <c r="AD117" s="191"/>
      <c r="AE117" s="191"/>
      <c r="AF117" s="191"/>
      <c r="AH117" s="191"/>
      <c r="AI117" s="191"/>
      <c r="AJ117" s="191"/>
      <c r="AK117" s="191"/>
      <c r="AM117" s="93">
        <f>IF(ISBLANK(I117),1,IF(I117=I110,0,1))</f>
        <v>1</v>
      </c>
      <c r="AN117" s="93">
        <f t="shared" ref="AN117:AN121" si="5">IF(ISBLANK(N117),1,IF(N117=N110,0,1))</f>
        <v>1</v>
      </c>
      <c r="AO117" s="93">
        <f>IF(OR(ISBLANK(X117),ISBLANK(Y$67)),1,IF(X117&gt;Y$67,1,0))</f>
        <v>1</v>
      </c>
      <c r="AP117" s="93">
        <f t="shared" ref="AP117:AP122" si="6">IF(ISBLANK(AC117),1,IF(AC117&gt;$AQ$109,1,0))</f>
        <v>1</v>
      </c>
      <c r="AQ117" s="93">
        <f>IF(OR($AR$111=0,$AR$113=2),0,IF($AH117&gt;$AR$111,1,0))</f>
        <v>0</v>
      </c>
      <c r="AR117" s="93">
        <f>IF(OR($AR$112=0,$AR$113=2),0,IF($AH117&gt;$AR$112,1,0))</f>
        <v>0</v>
      </c>
      <c r="AS117" s="93">
        <f>IF(OR(ISBLANK(AH117),ISBLANK(I117)),1,IF(AH117&gt;I117,1,0))</f>
        <v>1</v>
      </c>
      <c r="AU117" s="25"/>
      <c r="AY117" s="26"/>
      <c r="AZ117" s="26"/>
      <c r="BA117" s="26"/>
      <c r="BB117" s="26"/>
      <c r="BC117" s="26"/>
      <c r="BD117" s="26"/>
      <c r="BE117" s="26"/>
      <c r="BF117" s="26"/>
    </row>
    <row r="118" spans="2:58" ht="15" customHeight="1" x14ac:dyDescent="0.3">
      <c r="C118" s="200">
        <f>Tables!$F$17</f>
        <v>5.24</v>
      </c>
      <c r="D118" s="200"/>
      <c r="G118" s="2" t="str">
        <f>Tables!$D$17</f>
        <v>(5-yr)</v>
      </c>
      <c r="I118" s="190"/>
      <c r="J118" s="190"/>
      <c r="K118" s="190"/>
      <c r="L118" s="190"/>
      <c r="N118" s="190"/>
      <c r="O118" s="190"/>
      <c r="P118" s="190"/>
      <c r="Q118" s="190"/>
      <c r="S118" s="190"/>
      <c r="T118" s="190"/>
      <c r="U118" s="190"/>
      <c r="V118" s="190"/>
      <c r="X118" s="190"/>
      <c r="Y118" s="190"/>
      <c r="Z118" s="190"/>
      <c r="AA118" s="190"/>
      <c r="AC118" s="190"/>
      <c r="AD118" s="190"/>
      <c r="AE118" s="190"/>
      <c r="AF118" s="190"/>
      <c r="AH118" s="190"/>
      <c r="AI118" s="190"/>
      <c r="AJ118" s="190"/>
      <c r="AK118" s="190"/>
      <c r="AM118" s="93">
        <f t="shared" ref="AM118:AM122" si="7">IF(ISBLANK(I118),1,IF(I118=I111,0,1))</f>
        <v>1</v>
      </c>
      <c r="AN118" s="93">
        <f t="shared" si="5"/>
        <v>1</v>
      </c>
      <c r="AO118" s="93">
        <f t="shared" ref="AO118:AO121" si="8">IF(OR(ISBLANK(X118),ISBLANK(Y$67)),1,IF(X118&gt;Y$67,1,0))</f>
        <v>1</v>
      </c>
      <c r="AP118" s="93">
        <f t="shared" si="6"/>
        <v>1</v>
      </c>
      <c r="AQ118" s="93">
        <f t="shared" ref="AQ118:AQ122" si="9">IF(OR($AR$111=0,$AR$113=2),0,IF($AH118&gt;$AR$111,1,0))</f>
        <v>0</v>
      </c>
      <c r="AR118" s="93">
        <f t="shared" ref="AR118:AR122" si="10">IF(OR($AR$112=0,$AR$113=2),0,IF($AH118&gt;$AR$112,1,0))</f>
        <v>0</v>
      </c>
      <c r="AS118" s="93">
        <f>IF(OR(ISBLANK(AH118),ISBLANK(I118)),1,IF(AH118&gt;I118,1,0))</f>
        <v>1</v>
      </c>
      <c r="AY118" s="26"/>
      <c r="AZ118" s="26"/>
      <c r="BA118" s="26"/>
      <c r="BB118" s="26"/>
      <c r="BC118" s="26"/>
      <c r="BD118" s="26"/>
      <c r="BE118" s="26"/>
      <c r="BF118" s="26"/>
    </row>
    <row r="119" spans="2:58" ht="15" customHeight="1" x14ac:dyDescent="0.3">
      <c r="C119" s="200">
        <f>Tables!$F$18</f>
        <v>6.17</v>
      </c>
      <c r="D119" s="200"/>
      <c r="G119" s="2" t="str">
        <f>Tables!$D$18</f>
        <v>(10-yr)</v>
      </c>
      <c r="I119" s="190"/>
      <c r="J119" s="190"/>
      <c r="K119" s="190"/>
      <c r="L119" s="190"/>
      <c r="N119" s="190"/>
      <c r="O119" s="190"/>
      <c r="P119" s="190"/>
      <c r="Q119" s="190"/>
      <c r="S119" s="190"/>
      <c r="T119" s="190"/>
      <c r="U119" s="190"/>
      <c r="V119" s="190"/>
      <c r="X119" s="190"/>
      <c r="Y119" s="190"/>
      <c r="Z119" s="190"/>
      <c r="AA119" s="190"/>
      <c r="AC119" s="190"/>
      <c r="AD119" s="190"/>
      <c r="AE119" s="190"/>
      <c r="AF119" s="190"/>
      <c r="AH119" s="190"/>
      <c r="AI119" s="190"/>
      <c r="AJ119" s="190"/>
      <c r="AK119" s="190"/>
      <c r="AM119" s="93">
        <f t="shared" si="7"/>
        <v>1</v>
      </c>
      <c r="AN119" s="93">
        <f t="shared" si="5"/>
        <v>1</v>
      </c>
      <c r="AO119" s="93">
        <f t="shared" si="8"/>
        <v>1</v>
      </c>
      <c r="AP119" s="93">
        <f t="shared" si="6"/>
        <v>1</v>
      </c>
      <c r="AQ119" s="93">
        <f t="shared" si="9"/>
        <v>0</v>
      </c>
      <c r="AR119" s="93">
        <f t="shared" si="10"/>
        <v>0</v>
      </c>
      <c r="AS119" s="93">
        <f t="shared" ref="AS119:AS122" si="11">IF(OR(ISBLANK(AH119),ISBLANK(I119)),1,IF(AH119&gt;I119,1,0))</f>
        <v>1</v>
      </c>
      <c r="AU119" s="27"/>
      <c r="AY119" s="26"/>
      <c r="AZ119" s="26"/>
      <c r="BA119" s="26"/>
      <c r="BB119" s="26"/>
      <c r="BC119" s="26"/>
      <c r="BD119" s="26"/>
      <c r="BE119" s="26"/>
      <c r="BF119" s="26"/>
    </row>
    <row r="120" spans="2:58" ht="15" customHeight="1" x14ac:dyDescent="0.3">
      <c r="C120" s="200">
        <f>Tables!$F$19</f>
        <v>7.55</v>
      </c>
      <c r="D120" s="200"/>
      <c r="G120" s="2" t="str">
        <f>Tables!$D$19</f>
        <v>(25-yr)</v>
      </c>
      <c r="I120" s="190"/>
      <c r="J120" s="190"/>
      <c r="K120" s="190"/>
      <c r="L120" s="190"/>
      <c r="N120" s="190"/>
      <c r="O120" s="190"/>
      <c r="P120" s="190"/>
      <c r="Q120" s="190"/>
      <c r="S120" s="190"/>
      <c r="T120" s="190"/>
      <c r="U120" s="190"/>
      <c r="V120" s="190"/>
      <c r="X120" s="190"/>
      <c r="Y120" s="190"/>
      <c r="Z120" s="190"/>
      <c r="AA120" s="190"/>
      <c r="AC120" s="190"/>
      <c r="AD120" s="190"/>
      <c r="AE120" s="190"/>
      <c r="AF120" s="190"/>
      <c r="AH120" s="190"/>
      <c r="AI120" s="190"/>
      <c r="AJ120" s="190"/>
      <c r="AK120" s="190"/>
      <c r="AM120" s="93">
        <f t="shared" si="7"/>
        <v>1</v>
      </c>
      <c r="AN120" s="93">
        <f t="shared" si="5"/>
        <v>1</v>
      </c>
      <c r="AO120" s="93">
        <f t="shared" si="8"/>
        <v>1</v>
      </c>
      <c r="AP120" s="93">
        <f t="shared" si="6"/>
        <v>1</v>
      </c>
      <c r="AQ120" s="93">
        <f t="shared" si="9"/>
        <v>0</v>
      </c>
      <c r="AR120" s="93">
        <f t="shared" si="10"/>
        <v>0</v>
      </c>
      <c r="AS120" s="93">
        <f t="shared" si="11"/>
        <v>1</v>
      </c>
      <c r="AU120" s="27"/>
      <c r="AY120" s="26"/>
      <c r="AZ120" s="26"/>
      <c r="BA120" s="26"/>
      <c r="BB120" s="26"/>
      <c r="BC120" s="26"/>
      <c r="BD120" s="26"/>
      <c r="BE120" s="26"/>
      <c r="BF120" s="26"/>
    </row>
    <row r="121" spans="2:58" ht="15" customHeight="1" x14ac:dyDescent="0.3">
      <c r="C121" s="200">
        <f>Tables!$F$20</f>
        <v>8.6999999999999993</v>
      </c>
      <c r="D121" s="200"/>
      <c r="G121" s="2" t="str">
        <f>Tables!$D$20</f>
        <v>(50-yr)</v>
      </c>
      <c r="I121" s="190"/>
      <c r="J121" s="190"/>
      <c r="K121" s="190"/>
      <c r="L121" s="190"/>
      <c r="N121" s="190"/>
      <c r="O121" s="190"/>
      <c r="P121" s="190"/>
      <c r="Q121" s="190"/>
      <c r="S121" s="190"/>
      <c r="T121" s="190"/>
      <c r="U121" s="190"/>
      <c r="V121" s="190"/>
      <c r="X121" s="190"/>
      <c r="Y121" s="190"/>
      <c r="Z121" s="190"/>
      <c r="AA121" s="190"/>
      <c r="AC121" s="190"/>
      <c r="AD121" s="190"/>
      <c r="AE121" s="190"/>
      <c r="AF121" s="190"/>
      <c r="AH121" s="190"/>
      <c r="AI121" s="190"/>
      <c r="AJ121" s="190"/>
      <c r="AK121" s="190"/>
      <c r="AM121" s="93">
        <f t="shared" si="7"/>
        <v>1</v>
      </c>
      <c r="AN121" s="93">
        <f t="shared" si="5"/>
        <v>1</v>
      </c>
      <c r="AO121" s="93">
        <f t="shared" si="8"/>
        <v>1</v>
      </c>
      <c r="AP121" s="93">
        <f t="shared" si="6"/>
        <v>1</v>
      </c>
      <c r="AQ121" s="93">
        <f t="shared" si="9"/>
        <v>0</v>
      </c>
      <c r="AR121" s="93">
        <f t="shared" si="10"/>
        <v>0</v>
      </c>
      <c r="AS121" s="93">
        <f t="shared" si="11"/>
        <v>1</v>
      </c>
      <c r="AY121" s="26"/>
      <c r="AZ121" s="26"/>
      <c r="BA121" s="26"/>
      <c r="BB121" s="26"/>
      <c r="BC121" s="26"/>
      <c r="BD121" s="26"/>
      <c r="BE121" s="26"/>
      <c r="BF121" s="26"/>
    </row>
    <row r="122" spans="2:58" ht="15" customHeight="1" x14ac:dyDescent="0.3">
      <c r="C122" s="200">
        <f>Tables!$F$21</f>
        <v>9.93</v>
      </c>
      <c r="D122" s="200"/>
      <c r="G122" s="2" t="str">
        <f>Tables!$D$21</f>
        <v>(100-yr)</v>
      </c>
      <c r="I122" s="190"/>
      <c r="J122" s="190"/>
      <c r="K122" s="190"/>
      <c r="L122" s="190"/>
      <c r="N122" s="190"/>
      <c r="O122" s="190"/>
      <c r="P122" s="190"/>
      <c r="Q122" s="190"/>
      <c r="S122" s="190"/>
      <c r="T122" s="190"/>
      <c r="U122" s="190"/>
      <c r="V122" s="190"/>
      <c r="X122" s="190"/>
      <c r="Y122" s="190"/>
      <c r="Z122" s="190"/>
      <c r="AA122" s="190"/>
      <c r="AC122" s="190"/>
      <c r="AD122" s="190"/>
      <c r="AE122" s="190"/>
      <c r="AF122" s="190"/>
      <c r="AH122" s="190"/>
      <c r="AI122" s="190"/>
      <c r="AJ122" s="190"/>
      <c r="AK122" s="190"/>
      <c r="AM122" s="93">
        <f t="shared" si="7"/>
        <v>1</v>
      </c>
      <c r="AN122" s="93">
        <f>IF(ISBLANK(N122),1,IF(N122=N115,0,1))</f>
        <v>1</v>
      </c>
      <c r="AO122" s="99">
        <f>AH67-X122</f>
        <v>0</v>
      </c>
      <c r="AP122" s="93">
        <f t="shared" si="6"/>
        <v>1</v>
      </c>
      <c r="AQ122" s="93">
        <f t="shared" si="9"/>
        <v>0</v>
      </c>
      <c r="AR122" s="93">
        <f t="shared" si="10"/>
        <v>0</v>
      </c>
      <c r="AS122" s="93">
        <f t="shared" si="11"/>
        <v>1</v>
      </c>
      <c r="AY122" s="26"/>
      <c r="AZ122" s="26"/>
      <c r="BA122" s="26"/>
      <c r="BB122" s="26"/>
      <c r="BC122" s="26"/>
      <c r="BD122" s="26"/>
      <c r="BE122" s="26"/>
      <c r="BF122" s="26"/>
    </row>
    <row r="123" spans="2:58" ht="4.95" customHeight="1" x14ac:dyDescent="0.3">
      <c r="AM123" s="94"/>
      <c r="AN123" s="94"/>
      <c r="AO123" s="94"/>
      <c r="AP123" s="94"/>
      <c r="AS123" s="94"/>
      <c r="AY123" s="26"/>
      <c r="AZ123" s="26"/>
      <c r="BA123" s="26"/>
      <c r="BB123" s="26"/>
      <c r="BC123" s="26"/>
      <c r="BD123" s="26"/>
      <c r="BE123" s="26"/>
      <c r="BF123" s="26"/>
    </row>
    <row r="124" spans="2:58" ht="15" customHeight="1" x14ac:dyDescent="0.3">
      <c r="B124" s="5" t="s">
        <v>22</v>
      </c>
      <c r="C124" s="5"/>
      <c r="D124" s="5"/>
      <c r="E124" s="5"/>
      <c r="F124" s="5"/>
      <c r="G124" s="5"/>
      <c r="AM124" s="21" t="s">
        <v>145</v>
      </c>
      <c r="AN124" s="21" t="s">
        <v>146</v>
      </c>
      <c r="AO124" s="21" t="s">
        <v>74</v>
      </c>
      <c r="AP124" s="21" t="s">
        <v>297</v>
      </c>
      <c r="AQ124" s="21" t="s">
        <v>363</v>
      </c>
      <c r="AR124" s="21" t="s">
        <v>433</v>
      </c>
      <c r="AS124" s="21" t="s">
        <v>75</v>
      </c>
      <c r="AY124" s="26"/>
      <c r="AZ124" s="26"/>
      <c r="BA124" s="26"/>
      <c r="BB124" s="26"/>
      <c r="BC124" s="26"/>
      <c r="BD124" s="26"/>
      <c r="BE124" s="26"/>
      <c r="BF124" s="26"/>
    </row>
    <row r="125" spans="2:58" ht="15" customHeight="1" x14ac:dyDescent="0.3">
      <c r="B125" s="214"/>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6"/>
      <c r="AY125" s="26"/>
      <c r="AZ125" s="26"/>
      <c r="BA125" s="26"/>
      <c r="BB125" s="26"/>
      <c r="BC125" s="26"/>
      <c r="BD125" s="26"/>
      <c r="BE125" s="26"/>
      <c r="BF125" s="26"/>
    </row>
    <row r="126" spans="2:58" ht="15" customHeight="1" x14ac:dyDescent="0.3">
      <c r="B126" s="217"/>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9"/>
      <c r="AU126" s="27"/>
      <c r="AY126" s="26"/>
      <c r="AZ126" s="26"/>
      <c r="BA126" s="26"/>
      <c r="BB126" s="26"/>
      <c r="BC126" s="26"/>
      <c r="BD126" s="26"/>
      <c r="BE126" s="26"/>
      <c r="BF126" s="26"/>
    </row>
    <row r="127" spans="2:58" ht="15" customHeight="1" x14ac:dyDescent="0.3">
      <c r="B127" s="217"/>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8"/>
      <c r="AK127" s="219"/>
      <c r="AU127" s="25"/>
      <c r="AY127" s="26"/>
      <c r="AZ127" s="26"/>
      <c r="BA127" s="26"/>
      <c r="BB127" s="26"/>
      <c r="BC127" s="26"/>
      <c r="BD127" s="26"/>
      <c r="BE127" s="26"/>
      <c r="BF127" s="26"/>
    </row>
    <row r="128" spans="2:58" ht="15" customHeight="1" x14ac:dyDescent="0.3">
      <c r="B128" s="217"/>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8"/>
      <c r="AK128" s="219"/>
      <c r="AX128"/>
      <c r="AY128" s="26"/>
      <c r="AZ128" s="26"/>
      <c r="BA128" s="26"/>
      <c r="BB128" s="26"/>
      <c r="BC128" s="26"/>
      <c r="BD128" s="26"/>
      <c r="BE128" s="26"/>
      <c r="BF128" s="26"/>
    </row>
    <row r="129" spans="2:58" ht="15" customHeight="1" x14ac:dyDescent="0.3">
      <c r="B129" s="217"/>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8"/>
      <c r="AK129" s="219"/>
      <c r="AY129" s="26"/>
      <c r="AZ129" s="26"/>
      <c r="BA129" s="26"/>
      <c r="BB129" s="26"/>
      <c r="BC129" s="26"/>
      <c r="BD129" s="26"/>
      <c r="BE129" s="26"/>
      <c r="BF129" s="26"/>
    </row>
    <row r="130" spans="2:58" ht="15" customHeight="1" x14ac:dyDescent="0.3">
      <c r="B130" s="217"/>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9"/>
      <c r="AY130" s="26"/>
      <c r="AZ130" s="26"/>
      <c r="BA130" s="26"/>
      <c r="BB130" s="26"/>
      <c r="BC130" s="26"/>
      <c r="BD130" s="26"/>
      <c r="BE130" s="26"/>
      <c r="BF130" s="26"/>
    </row>
    <row r="131" spans="2:58" ht="15" customHeight="1" x14ac:dyDescent="0.3">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2"/>
      <c r="AY131" s="26"/>
      <c r="AZ131" s="26"/>
      <c r="BA131" s="26"/>
      <c r="BB131" s="26"/>
      <c r="BC131" s="26"/>
      <c r="BD131" s="26"/>
      <c r="BE131" s="26"/>
      <c r="BF131" s="26"/>
    </row>
    <row r="132" spans="2:58" ht="4.95" customHeight="1" x14ac:dyDescent="0.3">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row>
    <row r="133" spans="2:58" ht="15" customHeight="1" x14ac:dyDescent="0.3">
      <c r="B133" s="1" t="s">
        <v>127</v>
      </c>
      <c r="C133" s="1"/>
      <c r="D133" s="1"/>
      <c r="E133" s="1"/>
      <c r="F133" s="1"/>
      <c r="G133" s="1"/>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row>
    <row r="134" spans="2:58" ht="15" customHeight="1" x14ac:dyDescent="0.3">
      <c r="C134" s="2"/>
      <c r="E134" s="2" t="s">
        <v>129</v>
      </c>
      <c r="F134" s="188"/>
      <c r="G134" s="188"/>
      <c r="H134" s="188"/>
      <c r="I134" s="188"/>
      <c r="J134" s="188"/>
      <c r="K134" s="188"/>
      <c r="L134" s="188"/>
      <c r="M134" s="188"/>
      <c r="N134" s="188"/>
      <c r="O134" s="188"/>
      <c r="P134" s="188"/>
      <c r="Q134" s="188"/>
      <c r="R134" s="188"/>
      <c r="S134" s="188"/>
      <c r="T134" s="188"/>
      <c r="U134" s="188"/>
      <c r="V134" s="188"/>
    </row>
    <row r="135" spans="2:58" ht="15" customHeight="1" x14ac:dyDescent="0.3">
      <c r="C135" s="2"/>
      <c r="E135" s="2" t="s">
        <v>130</v>
      </c>
      <c r="F135" s="207"/>
      <c r="G135" s="207"/>
      <c r="H135" s="207"/>
      <c r="I135" s="207"/>
      <c r="J135" s="207"/>
      <c r="K135" s="207"/>
      <c r="L135" s="207"/>
      <c r="M135" s="207"/>
      <c r="N135" s="207"/>
      <c r="O135" s="207"/>
      <c r="P135" s="207"/>
      <c r="Q135" s="207"/>
      <c r="R135" s="207"/>
      <c r="S135" s="207"/>
      <c r="T135" s="207"/>
      <c r="U135" s="207"/>
      <c r="V135" s="207"/>
      <c r="W135" s="4"/>
      <c r="X135" s="4"/>
      <c r="Y135" s="4"/>
      <c r="Z135" s="4"/>
      <c r="AA135" s="4"/>
      <c r="AB135" s="4"/>
      <c r="AC135" s="4"/>
      <c r="AD135" s="4"/>
      <c r="AE135" s="4"/>
      <c r="AF135" s="4"/>
      <c r="AG135" s="4"/>
      <c r="AH135" s="4"/>
      <c r="AI135" s="4"/>
      <c r="AJ135" s="4"/>
      <c r="AK135" s="4"/>
    </row>
    <row r="136" spans="2:58" ht="15" customHeight="1" x14ac:dyDescent="0.3">
      <c r="C136" s="2"/>
      <c r="E136" s="2" t="s">
        <v>327</v>
      </c>
      <c r="F136" s="207"/>
      <c r="G136" s="207"/>
      <c r="H136" s="207"/>
      <c r="I136" s="207"/>
      <c r="J136" s="207"/>
      <c r="K136" s="207"/>
      <c r="L136" s="207"/>
      <c r="M136" s="207"/>
      <c r="N136" s="207"/>
      <c r="O136" s="207"/>
      <c r="P136" s="207"/>
      <c r="Q136" s="207"/>
      <c r="R136" s="207"/>
      <c r="S136" s="207"/>
      <c r="T136" s="207"/>
      <c r="U136" s="207"/>
      <c r="V136" s="207"/>
      <c r="X136" s="2"/>
      <c r="Y136" s="2" t="s">
        <v>133</v>
      </c>
      <c r="Z136" s="195"/>
      <c r="AA136" s="195"/>
      <c r="AB136" s="195"/>
      <c r="AC136" s="195"/>
      <c r="AF136" s="2"/>
      <c r="AG136" s="2" t="s">
        <v>134</v>
      </c>
      <c r="AH136" s="195"/>
      <c r="AI136" s="195"/>
      <c r="AJ136" s="195"/>
      <c r="AK136" s="195"/>
    </row>
    <row r="137" spans="2:58" ht="15" customHeight="1" x14ac:dyDescent="0.3">
      <c r="C137" s="2"/>
      <c r="E137" s="2" t="s">
        <v>417</v>
      </c>
      <c r="F137" s="188"/>
      <c r="G137" s="188"/>
      <c r="H137" s="188"/>
      <c r="I137" s="188"/>
      <c r="J137" s="188"/>
      <c r="K137" s="188"/>
      <c r="L137" s="188"/>
      <c r="M137" s="188"/>
      <c r="N137" s="188"/>
      <c r="O137" s="188"/>
      <c r="P137" s="188"/>
      <c r="Q137" s="188"/>
      <c r="R137" s="188"/>
      <c r="S137" s="188"/>
      <c r="T137" s="188"/>
      <c r="U137" s="188"/>
      <c r="V137" s="188"/>
      <c r="X137" s="2"/>
      <c r="Y137" s="2"/>
      <c r="Z137" s="2"/>
      <c r="AA137" s="2"/>
      <c r="AB137" s="2"/>
      <c r="AC137" s="2"/>
      <c r="AD137" s="2"/>
      <c r="AE137" s="2"/>
      <c r="AF137" s="2"/>
      <c r="AG137" s="2"/>
      <c r="AH137" s="2"/>
      <c r="AI137" s="2"/>
      <c r="AJ137" s="2"/>
      <c r="AK137" s="2"/>
      <c r="AL137" s="2"/>
      <c r="AT137" s="2"/>
      <c r="AU137" s="2"/>
    </row>
    <row r="138" spans="2:58" ht="15" customHeight="1" x14ac:dyDescent="0.3">
      <c r="C138" s="2"/>
      <c r="E138" s="2" t="s">
        <v>131</v>
      </c>
      <c r="F138" s="239"/>
      <c r="G138" s="239"/>
      <c r="H138" s="239"/>
      <c r="I138" s="239"/>
      <c r="J138" s="239"/>
      <c r="K138" s="239"/>
      <c r="L138" s="239"/>
      <c r="M138" s="239"/>
      <c r="N138" s="239"/>
      <c r="O138" s="239"/>
      <c r="P138" s="239"/>
      <c r="Q138" s="239"/>
      <c r="R138" s="239"/>
      <c r="S138" s="239"/>
      <c r="T138" s="239"/>
      <c r="U138" s="239"/>
      <c r="V138" s="239"/>
      <c r="X138" s="10"/>
      <c r="Y138" s="10"/>
      <c r="Z138" s="10"/>
      <c r="AA138" s="10"/>
      <c r="AB138" s="10"/>
      <c r="AC138" s="10"/>
      <c r="AD138" s="2" t="s">
        <v>135</v>
      </c>
      <c r="AE138" s="238"/>
      <c r="AF138" s="238"/>
      <c r="AG138" s="238"/>
      <c r="AH138" s="238"/>
      <c r="AI138" s="238"/>
    </row>
    <row r="139" spans="2:58" ht="4.95" customHeight="1" x14ac:dyDescent="0.3">
      <c r="B139" s="2"/>
      <c r="C139" s="2"/>
      <c r="D139" s="2"/>
      <c r="E139" s="2"/>
      <c r="F139" s="2"/>
      <c r="G139" s="2"/>
      <c r="H139" s="38"/>
      <c r="I139" s="38"/>
      <c r="J139" s="38"/>
      <c r="K139" s="38"/>
      <c r="L139" s="38"/>
      <c r="M139" s="38"/>
      <c r="N139" s="38"/>
      <c r="O139" s="38"/>
      <c r="P139" s="38"/>
      <c r="Q139" s="38"/>
      <c r="R139" s="38"/>
      <c r="S139" s="38"/>
      <c r="T139" s="38"/>
      <c r="U139" s="38"/>
      <c r="V139" s="38"/>
      <c r="X139" s="4"/>
      <c r="Y139" s="4"/>
      <c r="Z139" s="4"/>
      <c r="AA139" s="4"/>
      <c r="AB139" s="4"/>
      <c r="AC139" s="4"/>
      <c r="AD139" s="2"/>
      <c r="AE139" s="4"/>
      <c r="AF139" s="4"/>
      <c r="AG139" s="4"/>
      <c r="AH139" s="4"/>
      <c r="AI139" s="4"/>
      <c r="AJ139" s="4"/>
      <c r="AK139" s="4"/>
    </row>
    <row r="140" spans="2:58" ht="15" customHeight="1" x14ac:dyDescent="0.3">
      <c r="B140" s="1" t="s">
        <v>302</v>
      </c>
      <c r="C140" s="1"/>
      <c r="D140" s="1"/>
      <c r="E140" s="1"/>
      <c r="F140" s="1"/>
      <c r="G140" s="1"/>
      <c r="H140" s="4"/>
      <c r="I140" s="4"/>
      <c r="J140" s="4"/>
      <c r="K140" s="4"/>
      <c r="L140" s="4"/>
      <c r="M140" s="4"/>
      <c r="N140" s="4"/>
      <c r="O140" s="4"/>
      <c r="P140" s="4"/>
      <c r="Q140" s="4"/>
      <c r="R140" s="4"/>
      <c r="S140" s="4"/>
      <c r="T140" s="4"/>
      <c r="U140" s="4"/>
      <c r="V140" s="4"/>
      <c r="X140" s="4"/>
      <c r="Y140" s="4"/>
      <c r="Z140" s="4"/>
      <c r="AA140" s="4"/>
      <c r="AB140" s="4"/>
      <c r="AC140" s="4"/>
      <c r="AD140" s="20"/>
      <c r="AE140" s="27" t="s">
        <v>128</v>
      </c>
      <c r="AH140" s="4"/>
      <c r="AI140" s="4"/>
      <c r="AJ140" s="4"/>
      <c r="AK140" s="4"/>
      <c r="AM140" s="93">
        <f>IF(ISBLANK(AD140),1,2)</f>
        <v>1</v>
      </c>
    </row>
    <row r="141" spans="2:58" ht="15" customHeight="1" x14ac:dyDescent="0.3">
      <c r="C141" s="2"/>
      <c r="E141" s="2" t="s">
        <v>132</v>
      </c>
      <c r="F141" s="188"/>
      <c r="G141" s="188"/>
      <c r="H141" s="188"/>
      <c r="I141" s="188"/>
      <c r="J141" s="188"/>
      <c r="K141" s="188"/>
      <c r="L141" s="188"/>
      <c r="M141" s="188"/>
      <c r="N141" s="188"/>
      <c r="O141" s="188"/>
      <c r="P141" s="188"/>
      <c r="Q141" s="188"/>
      <c r="R141" s="188"/>
      <c r="S141" s="188"/>
      <c r="T141" s="188"/>
      <c r="U141" s="188"/>
      <c r="V141" s="188"/>
      <c r="AM141" s="93">
        <f>IF(AND(ISBLANK(F141),ISBLANK(F142),ISBLANK(F143),ISBLANK(F144),ISBLANK(F145),ISBLANK(Z143),ISBLANK(AH143),ISBLANK(AE144),ISBLANK(AE145)),1,2)</f>
        <v>1</v>
      </c>
    </row>
    <row r="142" spans="2:58" ht="15" customHeight="1" x14ac:dyDescent="0.3">
      <c r="C142" s="2"/>
      <c r="E142" s="2" t="s">
        <v>130</v>
      </c>
      <c r="F142" s="207"/>
      <c r="G142" s="207"/>
      <c r="H142" s="207"/>
      <c r="I142" s="207"/>
      <c r="J142" s="207"/>
      <c r="K142" s="207"/>
      <c r="L142" s="207"/>
      <c r="M142" s="207"/>
      <c r="N142" s="207"/>
      <c r="O142" s="207"/>
      <c r="P142" s="207"/>
      <c r="Q142" s="207"/>
      <c r="R142" s="207"/>
      <c r="S142" s="207"/>
      <c r="T142" s="207"/>
      <c r="U142" s="207"/>
      <c r="V142" s="207"/>
      <c r="AE142" s="4"/>
      <c r="AF142" s="4"/>
      <c r="AG142" s="4"/>
      <c r="AH142" s="4"/>
      <c r="AI142" s="4"/>
      <c r="AJ142" s="4"/>
      <c r="AK142" s="4"/>
    </row>
    <row r="143" spans="2:58" ht="15" customHeight="1" x14ac:dyDescent="0.3">
      <c r="C143" s="2"/>
      <c r="E143" s="2" t="s">
        <v>327</v>
      </c>
      <c r="F143" s="207"/>
      <c r="G143" s="207"/>
      <c r="H143" s="207"/>
      <c r="I143" s="207"/>
      <c r="J143" s="207"/>
      <c r="K143" s="207"/>
      <c r="L143" s="207"/>
      <c r="M143" s="207"/>
      <c r="N143" s="207"/>
      <c r="O143" s="207"/>
      <c r="P143" s="207"/>
      <c r="Q143" s="207"/>
      <c r="R143" s="207"/>
      <c r="S143" s="207"/>
      <c r="T143" s="207"/>
      <c r="U143" s="207"/>
      <c r="V143" s="207"/>
      <c r="X143" s="2"/>
      <c r="Y143" s="2" t="s">
        <v>133</v>
      </c>
      <c r="Z143" s="195"/>
      <c r="AA143" s="195"/>
      <c r="AB143" s="195"/>
      <c r="AC143" s="195"/>
      <c r="AF143" s="2"/>
      <c r="AG143" s="2" t="s">
        <v>134</v>
      </c>
      <c r="AH143" s="195"/>
      <c r="AI143" s="195"/>
      <c r="AJ143" s="195"/>
      <c r="AK143" s="195"/>
    </row>
    <row r="144" spans="2:58" ht="15" customHeight="1" x14ac:dyDescent="0.3">
      <c r="C144" s="2"/>
      <c r="E144" s="2" t="s">
        <v>417</v>
      </c>
      <c r="F144" s="188"/>
      <c r="G144" s="188"/>
      <c r="H144" s="188"/>
      <c r="I144" s="188"/>
      <c r="J144" s="188"/>
      <c r="K144" s="188"/>
      <c r="L144" s="188"/>
      <c r="M144" s="188"/>
      <c r="N144" s="188"/>
      <c r="O144" s="188"/>
      <c r="P144" s="188"/>
      <c r="Q144" s="188"/>
      <c r="R144" s="188"/>
      <c r="S144" s="188"/>
      <c r="T144" s="188"/>
      <c r="U144" s="188"/>
      <c r="V144" s="188"/>
      <c r="W144" s="4"/>
      <c r="X144" s="4"/>
      <c r="Y144" s="4"/>
      <c r="Z144" s="4"/>
      <c r="AA144" s="4"/>
      <c r="AB144" s="4"/>
      <c r="AC144" s="4"/>
      <c r="AD144" s="2" t="s">
        <v>136</v>
      </c>
      <c r="AE144" s="188"/>
      <c r="AF144" s="188"/>
      <c r="AG144" s="188"/>
      <c r="AH144" s="188"/>
      <c r="AI144" s="188"/>
      <c r="AJ144" s="188"/>
      <c r="AK144" s="188"/>
    </row>
    <row r="145" spans="2:42" ht="15" customHeight="1" x14ac:dyDescent="0.3">
      <c r="C145" s="2"/>
      <c r="E145" s="2" t="s">
        <v>131</v>
      </c>
      <c r="F145" s="239"/>
      <c r="G145" s="239"/>
      <c r="H145" s="239"/>
      <c r="I145" s="239"/>
      <c r="J145" s="239"/>
      <c r="K145" s="239"/>
      <c r="L145" s="239"/>
      <c r="M145" s="239"/>
      <c r="N145" s="239"/>
      <c r="O145" s="239"/>
      <c r="P145" s="239"/>
      <c r="Q145" s="239"/>
      <c r="R145" s="239"/>
      <c r="S145" s="239"/>
      <c r="T145" s="239"/>
      <c r="U145" s="239"/>
      <c r="V145" s="239"/>
      <c r="AD145" s="2" t="s">
        <v>135</v>
      </c>
      <c r="AE145" s="242"/>
      <c r="AF145" s="242"/>
      <c r="AG145" s="242"/>
      <c r="AH145" s="242"/>
      <c r="AI145" s="242"/>
    </row>
    <row r="146" spans="2:42" ht="15" customHeight="1" x14ac:dyDescent="0.3"/>
    <row r="147" spans="2:42" ht="15" customHeight="1" x14ac:dyDescent="0.3"/>
    <row r="148" spans="2:42" ht="15" customHeight="1" x14ac:dyDescent="0.3">
      <c r="AK148" s="29"/>
    </row>
    <row r="149" spans="2:42" ht="15" customHeight="1" x14ac:dyDescent="0.3">
      <c r="B149" s="179">
        <f>Tables!$F$13</f>
        <v>45931</v>
      </c>
      <c r="C149" s="179"/>
      <c r="D149" s="179"/>
      <c r="E149" s="179"/>
      <c r="F149" s="179"/>
      <c r="G149" s="179"/>
      <c r="H149" s="179"/>
      <c r="R149" s="180" t="s">
        <v>412</v>
      </c>
      <c r="S149" s="180"/>
      <c r="T149" s="180"/>
      <c r="U149" s="180"/>
      <c r="AK149" s="29"/>
    </row>
    <row r="150" spans="2:42" ht="15" customHeight="1" x14ac:dyDescent="0.3">
      <c r="C150" s="2" t="s">
        <v>1</v>
      </c>
      <c r="D150" s="182">
        <f>IF(ISBLANK($E$7),"",$E$7)</f>
        <v>0</v>
      </c>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34"/>
      <c r="AB150" s="34"/>
      <c r="AC150" s="34"/>
      <c r="AF150" s="2" t="s">
        <v>21</v>
      </c>
      <c r="AG150" s="183">
        <f>$AF$7</f>
        <v>0</v>
      </c>
      <c r="AH150" s="183"/>
      <c r="AI150" s="183"/>
      <c r="AJ150" s="183"/>
      <c r="AK150" s="183"/>
    </row>
    <row r="151" spans="2:42" ht="15" customHeight="1" x14ac:dyDescent="0.3">
      <c r="H151" s="35"/>
      <c r="I151" s="35"/>
      <c r="J151" s="2"/>
      <c r="K151" s="2"/>
      <c r="L151" s="2"/>
      <c r="M151" s="35"/>
      <c r="N151" s="34"/>
      <c r="O151" s="34"/>
      <c r="P151" s="34"/>
      <c r="Q151" s="34"/>
      <c r="R151" s="34"/>
      <c r="S151" s="34"/>
      <c r="T151" s="34"/>
      <c r="U151" s="34"/>
      <c r="V151" s="34"/>
      <c r="W151" s="34"/>
      <c r="X151" s="34"/>
      <c r="Y151" s="34"/>
      <c r="Z151" s="34"/>
      <c r="AA151" s="34"/>
      <c r="AB151" s="34"/>
      <c r="AC151" s="34"/>
      <c r="AF151" s="2" t="s">
        <v>34</v>
      </c>
      <c r="AG151" s="241">
        <f>IF(ISBLANK($AF$8),"",$AF$8)</f>
        <v>0</v>
      </c>
      <c r="AH151" s="241"/>
      <c r="AI151" s="241"/>
      <c r="AJ151" s="241"/>
      <c r="AK151" s="241"/>
    </row>
    <row r="152" spans="2:42" ht="15" customHeight="1" x14ac:dyDescent="0.3">
      <c r="B152" s="1" t="s">
        <v>396</v>
      </c>
      <c r="F152" s="35"/>
      <c r="G152" s="35"/>
      <c r="H152" s="27" t="s">
        <v>397</v>
      </c>
      <c r="I152" s="35"/>
      <c r="J152" s="35"/>
      <c r="K152" s="2"/>
      <c r="L152" s="2"/>
      <c r="M152" s="2"/>
      <c r="N152" s="2"/>
      <c r="O152" s="35"/>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M152" s="11"/>
      <c r="AN152" s="11"/>
    </row>
    <row r="153" spans="2:42" ht="15" customHeight="1" x14ac:dyDescent="0.3">
      <c r="C153" s="27" t="s">
        <v>154</v>
      </c>
      <c r="E153" s="27" t="s">
        <v>138</v>
      </c>
      <c r="AM153" s="93">
        <f>SUM(AM157,AM159,AM161,AM163,AM165,AM167,AM169,AM171)</f>
        <v>8</v>
      </c>
      <c r="AP153" s="93">
        <f>SUM(AP157,AP159,AP161,AP163,AP165,AP167,AP169,AP171)</f>
        <v>0</v>
      </c>
    </row>
    <row r="154" spans="2:42" ht="4.95" customHeight="1" x14ac:dyDescent="0.3"/>
    <row r="155" spans="2:42" ht="15" customHeight="1" x14ac:dyDescent="0.3">
      <c r="C155" s="56"/>
      <c r="E155" s="56"/>
      <c r="G155" s="27" t="s">
        <v>398</v>
      </c>
      <c r="X155" s="27" t="s">
        <v>399</v>
      </c>
      <c r="AC155" s="27" t="s">
        <v>400</v>
      </c>
      <c r="AM155" s="93">
        <f>IF(AND(ISBLANK(C155),ISBLANK(E155)),1,2)</f>
        <v>1</v>
      </c>
      <c r="AN155" s="93">
        <f>IF(ISBLANK(E155),1,2)</f>
        <v>1</v>
      </c>
      <c r="AO155" s="93">
        <f>IF(ISBLANK(C155),1,2)</f>
        <v>1</v>
      </c>
      <c r="AP155" s="93">
        <f>IF(ISBLANK(E155),0,1)</f>
        <v>0</v>
      </c>
    </row>
    <row r="156" spans="2:42" ht="4.95" customHeight="1" x14ac:dyDescent="0.3"/>
    <row r="157" spans="2:42" ht="15" customHeight="1" x14ac:dyDescent="0.3">
      <c r="C157" s="56"/>
      <c r="E157" s="56"/>
      <c r="G157" s="27" t="s">
        <v>406</v>
      </c>
      <c r="Y157" s="195"/>
      <c r="Z157" s="195"/>
      <c r="AC157" s="240"/>
      <c r="AD157" s="240"/>
      <c r="AE157" s="240"/>
      <c r="AF157" s="240"/>
      <c r="AG157" s="240"/>
      <c r="AH157" s="240"/>
      <c r="AI157" s="240"/>
      <c r="AM157" s="93">
        <f>IF(AND(ISBLANK(C157),ISBLANK(E157)),1,2)</f>
        <v>1</v>
      </c>
      <c r="AN157" s="93">
        <f>IF(ISBLANK(E157),1,2)</f>
        <v>1</v>
      </c>
      <c r="AO157" s="93">
        <f>IF(ISBLANK(C157),1,2)</f>
        <v>1</v>
      </c>
      <c r="AP157" s="93">
        <f>IF(ISBLANK(E157),0,1)</f>
        <v>0</v>
      </c>
    </row>
    <row r="158" spans="2:42" ht="4.95" customHeight="1" x14ac:dyDescent="0.3"/>
    <row r="159" spans="2:42" ht="15" customHeight="1" x14ac:dyDescent="0.3">
      <c r="C159" s="56"/>
      <c r="E159" s="56"/>
      <c r="G159" s="27" t="s">
        <v>403</v>
      </c>
      <c r="Y159" s="195"/>
      <c r="Z159" s="195"/>
      <c r="AC159" s="240"/>
      <c r="AD159" s="240"/>
      <c r="AE159" s="240"/>
      <c r="AF159" s="240"/>
      <c r="AG159" s="240"/>
      <c r="AH159" s="240"/>
      <c r="AI159" s="240"/>
      <c r="AM159" s="93">
        <f>IF(AND(ISBLANK(C159),ISBLANK(E159)),1,2)</f>
        <v>1</v>
      </c>
      <c r="AN159" s="93">
        <f>IF(ISBLANK(E159),1,2)</f>
        <v>1</v>
      </c>
      <c r="AO159" s="93">
        <f>IF(ISBLANK(C159),1,2)</f>
        <v>1</v>
      </c>
      <c r="AP159" s="93">
        <f>IF(ISBLANK(E159),0,1)</f>
        <v>0</v>
      </c>
    </row>
    <row r="160" spans="2:42" ht="4.95" customHeight="1" x14ac:dyDescent="0.3"/>
    <row r="161" spans="2:42" ht="15" customHeight="1" x14ac:dyDescent="0.3">
      <c r="C161" s="56"/>
      <c r="E161" s="56"/>
      <c r="G161" s="27" t="s">
        <v>404</v>
      </c>
      <c r="Y161" s="195"/>
      <c r="Z161" s="195"/>
      <c r="AC161" s="240"/>
      <c r="AD161" s="240"/>
      <c r="AE161" s="240"/>
      <c r="AF161" s="240"/>
      <c r="AG161" s="240"/>
      <c r="AH161" s="240"/>
      <c r="AI161" s="240"/>
      <c r="AM161" s="93">
        <f>IF(AND(ISBLANK(C161),ISBLANK(E161)),1,2)</f>
        <v>1</v>
      </c>
      <c r="AN161" s="93">
        <f>IF(ISBLANK(E161),1,2)</f>
        <v>1</v>
      </c>
      <c r="AO161" s="93">
        <f>IF(ISBLANK(C161),1,2)</f>
        <v>1</v>
      </c>
      <c r="AP161" s="93">
        <f>IF(ISBLANK(E161),0,1)</f>
        <v>0</v>
      </c>
    </row>
    <row r="162" spans="2:42" ht="4.95" customHeight="1" x14ac:dyDescent="0.3"/>
    <row r="163" spans="2:42" ht="15" customHeight="1" x14ac:dyDescent="0.3">
      <c r="C163" s="56"/>
      <c r="E163" s="56"/>
      <c r="G163" s="27" t="s">
        <v>405</v>
      </c>
      <c r="Y163" s="195"/>
      <c r="Z163" s="195"/>
      <c r="AC163" s="240"/>
      <c r="AD163" s="240"/>
      <c r="AE163" s="240"/>
      <c r="AF163" s="240"/>
      <c r="AG163" s="240"/>
      <c r="AH163" s="240"/>
      <c r="AI163" s="240"/>
      <c r="AM163" s="93">
        <f>IF(AND(ISBLANK(C163),ISBLANK(E163)),1,2)</f>
        <v>1</v>
      </c>
      <c r="AN163" s="93">
        <f>IF(ISBLANK(E163),1,2)</f>
        <v>1</v>
      </c>
      <c r="AO163" s="93">
        <f>IF(ISBLANK(C163),1,2)</f>
        <v>1</v>
      </c>
      <c r="AP163" s="93">
        <f>IF(ISBLANK(E163),0,1)</f>
        <v>0</v>
      </c>
    </row>
    <row r="164" spans="2:42" ht="4.95" customHeight="1" x14ac:dyDescent="0.3">
      <c r="C164" s="35"/>
      <c r="E164" s="2"/>
      <c r="J164" s="35"/>
      <c r="K164" s="34"/>
      <c r="L164" s="34"/>
      <c r="M164" s="34"/>
      <c r="N164" s="34"/>
      <c r="O164" s="34"/>
      <c r="X164" s="34"/>
      <c r="Y164" s="34"/>
      <c r="Z164" s="34"/>
      <c r="AA164" s="34"/>
      <c r="AB164" s="34"/>
      <c r="AC164" s="34"/>
      <c r="AD164" s="34"/>
      <c r="AE164" s="34"/>
      <c r="AF164" s="34"/>
      <c r="AG164" s="34"/>
      <c r="AH164" s="34"/>
      <c r="AI164" s="34"/>
      <c r="AJ164" s="34"/>
      <c r="AK164" s="34"/>
      <c r="AM164" s="11"/>
      <c r="AN164" s="11"/>
    </row>
    <row r="165" spans="2:42" ht="15" customHeight="1" x14ac:dyDescent="0.3">
      <c r="C165" s="56"/>
      <c r="E165" s="56"/>
      <c r="G165" s="27" t="s">
        <v>407</v>
      </c>
      <c r="Y165" s="195"/>
      <c r="Z165" s="195"/>
      <c r="AC165" s="240"/>
      <c r="AD165" s="240"/>
      <c r="AE165" s="240"/>
      <c r="AF165" s="240"/>
      <c r="AG165" s="240"/>
      <c r="AH165" s="240"/>
      <c r="AI165" s="240"/>
      <c r="AM165" s="93">
        <f>IF(AND(ISBLANK(C165),ISBLANK(E165)),1,2)</f>
        <v>1</v>
      </c>
      <c r="AN165" s="93">
        <f>IF(ISBLANK(E165),1,2)</f>
        <v>1</v>
      </c>
      <c r="AO165" s="93">
        <f>IF(ISBLANK(C165),1,2)</f>
        <v>1</v>
      </c>
      <c r="AP165" s="93">
        <f>IF(ISBLANK(E165),0,1)</f>
        <v>0</v>
      </c>
    </row>
    <row r="166" spans="2:42" ht="4.95" customHeight="1" x14ac:dyDescent="0.3">
      <c r="I166" s="35"/>
      <c r="J166" s="2"/>
      <c r="K166" s="2"/>
      <c r="L166" s="2"/>
      <c r="M166" s="35"/>
      <c r="N166" s="34"/>
      <c r="O166" s="34"/>
      <c r="X166" s="34"/>
      <c r="Y166" s="34"/>
      <c r="Z166" s="34"/>
      <c r="AA166" s="34"/>
      <c r="AB166" s="34"/>
      <c r="AC166" s="34"/>
      <c r="AD166" s="34"/>
      <c r="AE166" s="34"/>
      <c r="AF166" s="34"/>
      <c r="AG166" s="34"/>
      <c r="AH166" s="34"/>
      <c r="AI166" s="34"/>
      <c r="AM166" s="11"/>
      <c r="AN166" s="11"/>
    </row>
    <row r="167" spans="2:42" ht="15" customHeight="1" x14ac:dyDescent="0.3">
      <c r="C167" s="56"/>
      <c r="E167" s="56"/>
      <c r="G167" s="27" t="s">
        <v>408</v>
      </c>
      <c r="I167" s="35"/>
      <c r="J167" s="2"/>
      <c r="K167" s="2"/>
      <c r="L167" s="2"/>
      <c r="M167" s="35"/>
      <c r="N167" s="34"/>
      <c r="O167" s="34"/>
      <c r="X167" s="34"/>
      <c r="Y167" s="195"/>
      <c r="Z167" s="195"/>
      <c r="AC167" s="240"/>
      <c r="AD167" s="240"/>
      <c r="AE167" s="240"/>
      <c r="AF167" s="240"/>
      <c r="AG167" s="240"/>
      <c r="AH167" s="240"/>
      <c r="AI167" s="240"/>
      <c r="AM167" s="93">
        <f>IF(AND(ISBLANK(C167),ISBLANK(E167)),1,2)</f>
        <v>1</v>
      </c>
      <c r="AN167" s="93">
        <f>IF(ISBLANK(E167),1,2)</f>
        <v>1</v>
      </c>
      <c r="AO167" s="93">
        <f>IF(ISBLANK(C167),1,2)</f>
        <v>1</v>
      </c>
      <c r="AP167" s="93">
        <f>IF(ISBLANK(E167),0,1)</f>
        <v>0</v>
      </c>
    </row>
    <row r="168" spans="2:42" ht="4.95" customHeight="1" x14ac:dyDescent="0.3">
      <c r="I168" s="35"/>
      <c r="J168" s="2"/>
      <c r="K168" s="2"/>
      <c r="L168" s="2"/>
      <c r="M168" s="35"/>
      <c r="N168" s="34"/>
      <c r="O168" s="34"/>
      <c r="X168" s="34"/>
      <c r="Y168" s="34"/>
      <c r="Z168" s="34"/>
      <c r="AA168" s="34"/>
      <c r="AB168" s="34"/>
      <c r="AC168" s="34"/>
      <c r="AD168" s="34"/>
      <c r="AE168" s="34"/>
      <c r="AF168" s="34"/>
      <c r="AG168" s="34"/>
      <c r="AH168" s="34"/>
      <c r="AI168" s="34"/>
      <c r="AM168" s="11"/>
      <c r="AN168" s="11"/>
    </row>
    <row r="169" spans="2:42" ht="15" customHeight="1" x14ac:dyDescent="0.3">
      <c r="C169" s="56"/>
      <c r="E169" s="56"/>
      <c r="G169" s="27" t="s">
        <v>401</v>
      </c>
      <c r="Y169" s="195"/>
      <c r="Z169" s="195"/>
      <c r="AC169" s="240"/>
      <c r="AD169" s="240"/>
      <c r="AE169" s="240"/>
      <c r="AF169" s="240"/>
      <c r="AG169" s="240"/>
      <c r="AH169" s="240"/>
      <c r="AI169" s="240"/>
      <c r="AM169" s="93">
        <f>IF(AND(ISBLANK(C169),ISBLANK(E169)),1,2)</f>
        <v>1</v>
      </c>
      <c r="AN169" s="93">
        <f>IF(ISBLANK(E169),1,2)</f>
        <v>1</v>
      </c>
      <c r="AO169" s="93">
        <f>IF(ISBLANK(C169),1,2)</f>
        <v>1</v>
      </c>
      <c r="AP169" s="93">
        <f>IF(ISBLANK(E169),0,1)</f>
        <v>0</v>
      </c>
    </row>
    <row r="170" spans="2:42" ht="4.95" customHeight="1" x14ac:dyDescent="0.3">
      <c r="I170" s="35"/>
      <c r="J170" s="2"/>
      <c r="K170" s="2"/>
      <c r="L170" s="2"/>
      <c r="M170" s="35"/>
      <c r="N170" s="34"/>
      <c r="O170" s="34"/>
      <c r="P170" s="34"/>
      <c r="Q170" s="34"/>
      <c r="R170" s="34"/>
      <c r="S170" s="34"/>
      <c r="T170" s="34"/>
      <c r="U170" s="34"/>
      <c r="V170" s="34"/>
      <c r="W170" s="34"/>
      <c r="X170" s="34"/>
      <c r="Y170" s="34"/>
      <c r="Z170" s="34"/>
      <c r="AA170" s="34"/>
      <c r="AB170" s="34"/>
      <c r="AC170" s="34"/>
      <c r="AM170" s="11"/>
      <c r="AN170" s="11"/>
    </row>
    <row r="171" spans="2:42" ht="15" customHeight="1" x14ac:dyDescent="0.3">
      <c r="C171" s="56"/>
      <c r="E171" s="56"/>
      <c r="G171" s="27" t="s">
        <v>402</v>
      </c>
      <c r="I171" s="35"/>
      <c r="J171" s="2"/>
      <c r="K171" s="2"/>
      <c r="L171" s="2"/>
      <c r="M171" s="35"/>
      <c r="N171" s="34"/>
      <c r="O171" s="34"/>
      <c r="P171" s="34"/>
      <c r="Q171" s="34"/>
      <c r="R171" s="34"/>
      <c r="S171" s="34"/>
      <c r="T171" s="34"/>
      <c r="U171" s="34"/>
      <c r="V171" s="34"/>
      <c r="W171" s="34"/>
      <c r="X171" s="34"/>
      <c r="Y171" s="195"/>
      <c r="Z171" s="195"/>
      <c r="AC171" s="240"/>
      <c r="AD171" s="240"/>
      <c r="AE171" s="240"/>
      <c r="AF171" s="240"/>
      <c r="AG171" s="240"/>
      <c r="AH171" s="240"/>
      <c r="AI171" s="240"/>
      <c r="AM171" s="93">
        <f>IF(AND(ISBLANK(C171),ISBLANK(E171)),1,2)</f>
        <v>1</v>
      </c>
      <c r="AN171" s="93">
        <f>IF(ISBLANK(E171),1,2)</f>
        <v>1</v>
      </c>
      <c r="AO171" s="93">
        <f>IF(ISBLANK(C171),1,2)</f>
        <v>1</v>
      </c>
      <c r="AP171" s="93">
        <f>IF(ISBLANK(E171),0,1)</f>
        <v>0</v>
      </c>
    </row>
    <row r="172" spans="2:42" ht="15" customHeight="1" x14ac:dyDescent="0.3">
      <c r="AK172" s="29"/>
    </row>
    <row r="173" spans="2:42" ht="15" customHeight="1" x14ac:dyDescent="0.3">
      <c r="B173" s="1" t="s">
        <v>19</v>
      </c>
      <c r="C173" s="1"/>
      <c r="D173" s="1"/>
      <c r="E173" s="1"/>
      <c r="F173" s="1"/>
      <c r="G173" s="1"/>
      <c r="H173" s="1"/>
      <c r="I173" s="1"/>
    </row>
    <row r="174" spans="2:42" ht="15" customHeight="1" x14ac:dyDescent="0.3">
      <c r="B174" s="244" t="s">
        <v>303</v>
      </c>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row>
    <row r="175" spans="2:42" ht="15" customHeight="1" x14ac:dyDescent="0.3">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row>
    <row r="176" spans="2:42" ht="15" customHeight="1" x14ac:dyDescent="0.3">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row>
    <row r="177" spans="1:39" ht="15" customHeight="1" x14ac:dyDescent="0.3">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row>
    <row r="178" spans="1:39" ht="15" customHeight="1" x14ac:dyDescent="0.3">
      <c r="D178" s="2" t="s">
        <v>168</v>
      </c>
      <c r="E178" s="188"/>
      <c r="F178" s="188"/>
      <c r="G178" s="188"/>
      <c r="H178" s="188"/>
      <c r="I178" s="188"/>
      <c r="J178" s="188"/>
      <c r="K178" s="188"/>
      <c r="L178" s="188"/>
      <c r="M178" s="188"/>
      <c r="N178" s="188"/>
      <c r="O178" s="188"/>
      <c r="P178" s="188"/>
      <c r="Q178" s="188"/>
      <c r="R178" s="188"/>
      <c r="S178" s="188"/>
      <c r="T178" s="188"/>
      <c r="U178" s="188"/>
      <c r="V178" s="188"/>
      <c r="W178" s="188"/>
      <c r="X178" s="188"/>
      <c r="Y178" s="188"/>
      <c r="AB178" s="2" t="s">
        <v>345</v>
      </c>
      <c r="AC178" s="2"/>
      <c r="AD178" s="2"/>
      <c r="AE178" s="2"/>
    </row>
    <row r="179" spans="1:39" ht="15" customHeight="1" x14ac:dyDescent="0.3">
      <c r="D179" s="2" t="s">
        <v>129</v>
      </c>
      <c r="E179" s="207"/>
      <c r="F179" s="207"/>
      <c r="G179" s="207"/>
      <c r="H179" s="207"/>
      <c r="I179" s="207"/>
      <c r="J179" s="207"/>
      <c r="K179" s="207"/>
      <c r="L179" s="207"/>
      <c r="M179" s="207"/>
      <c r="N179" s="207"/>
      <c r="O179" s="207"/>
      <c r="P179" s="207"/>
      <c r="Q179" s="207"/>
      <c r="R179" s="207"/>
      <c r="S179" s="207"/>
      <c r="T179" s="207"/>
      <c r="U179" s="207"/>
      <c r="V179" s="207"/>
      <c r="W179" s="207"/>
      <c r="X179" s="207"/>
      <c r="Y179" s="207"/>
    </row>
    <row r="180" spans="1:39" ht="15" customHeight="1" x14ac:dyDescent="0.3">
      <c r="D180" s="2" t="s">
        <v>130</v>
      </c>
      <c r="E180" s="207"/>
      <c r="F180" s="207"/>
      <c r="G180" s="207"/>
      <c r="H180" s="207"/>
      <c r="I180" s="207"/>
      <c r="J180" s="207"/>
      <c r="K180" s="207"/>
      <c r="L180" s="207"/>
      <c r="M180" s="207"/>
      <c r="N180" s="207"/>
      <c r="O180" s="207"/>
      <c r="P180" s="207"/>
      <c r="Q180" s="207"/>
      <c r="R180" s="207"/>
      <c r="S180" s="207"/>
      <c r="T180" s="207"/>
      <c r="U180" s="207"/>
      <c r="V180" s="207"/>
      <c r="W180" s="207"/>
      <c r="X180" s="207"/>
      <c r="Y180" s="207"/>
    </row>
    <row r="181" spans="1:39" ht="15" customHeight="1" x14ac:dyDescent="0.3">
      <c r="D181" s="2" t="s">
        <v>327</v>
      </c>
      <c r="E181" s="207"/>
      <c r="F181" s="207"/>
      <c r="G181" s="207"/>
      <c r="H181" s="207"/>
      <c r="I181" s="207"/>
      <c r="J181" s="207"/>
      <c r="K181" s="207"/>
      <c r="L181" s="62"/>
      <c r="M181" s="62"/>
      <c r="N181" s="102" t="s">
        <v>133</v>
      </c>
      <c r="O181" s="207"/>
      <c r="P181" s="207"/>
      <c r="Q181" s="207"/>
      <c r="R181" s="207"/>
      <c r="S181" s="62"/>
      <c r="T181" s="62"/>
      <c r="U181" s="62"/>
      <c r="V181" s="102" t="s">
        <v>134</v>
      </c>
      <c r="W181" s="194"/>
      <c r="X181" s="194"/>
      <c r="Y181" s="194"/>
    </row>
    <row r="182" spans="1:39" ht="15" customHeight="1" x14ac:dyDescent="0.3">
      <c r="D182" s="2" t="s">
        <v>131</v>
      </c>
      <c r="E182" s="208"/>
      <c r="F182" s="208"/>
      <c r="G182" s="208"/>
      <c r="H182" s="208"/>
      <c r="I182" s="208"/>
      <c r="J182" s="208"/>
      <c r="K182" s="208"/>
      <c r="L182" s="208"/>
      <c r="M182" s="208"/>
      <c r="N182" s="208"/>
      <c r="O182" s="208"/>
      <c r="P182" s="208"/>
      <c r="Q182" s="208"/>
      <c r="R182" s="208"/>
      <c r="S182" s="208"/>
      <c r="T182" s="208"/>
      <c r="U182" s="208"/>
      <c r="V182" s="208"/>
      <c r="W182" s="208"/>
      <c r="X182" s="208"/>
      <c r="Y182" s="208"/>
    </row>
    <row r="183" spans="1:39" ht="15" customHeight="1" x14ac:dyDescent="0.3">
      <c r="D183" s="2" t="s">
        <v>135</v>
      </c>
      <c r="E183" s="209"/>
      <c r="F183" s="209"/>
      <c r="G183" s="209"/>
      <c r="H183" s="209"/>
      <c r="I183" s="209"/>
      <c r="U183" s="54"/>
      <c r="V183" s="54"/>
      <c r="W183" s="54"/>
    </row>
    <row r="184" spans="1:39" ht="15" customHeight="1" x14ac:dyDescent="0.3">
      <c r="D184" s="2"/>
      <c r="E184" s="62"/>
      <c r="F184" s="62"/>
      <c r="G184" s="62"/>
      <c r="H184" s="62"/>
      <c r="I184" s="62"/>
      <c r="U184" s="54"/>
      <c r="V184" s="54"/>
      <c r="W184" s="54"/>
    </row>
    <row r="185" spans="1:39" ht="15" customHeight="1" x14ac:dyDescent="0.3">
      <c r="D185" s="2" t="s">
        <v>169</v>
      </c>
      <c r="E185" s="81"/>
      <c r="F185" s="81"/>
      <c r="G185" s="81"/>
      <c r="H185" s="81"/>
      <c r="I185" s="81"/>
      <c r="J185" s="81"/>
      <c r="K185" s="81"/>
      <c r="L185" s="81"/>
      <c r="M185" s="81"/>
      <c r="N185" s="81"/>
      <c r="O185" s="81"/>
      <c r="P185" s="81"/>
      <c r="Q185" s="81"/>
      <c r="R185" s="81"/>
      <c r="S185" s="81"/>
      <c r="T185" s="81"/>
      <c r="U185" s="54"/>
      <c r="V185" s="54"/>
      <c r="W185" s="54"/>
      <c r="AB185" s="2" t="s">
        <v>165</v>
      </c>
      <c r="AC185" s="193"/>
      <c r="AD185" s="193"/>
      <c r="AE185" s="193"/>
      <c r="AF185" s="193"/>
      <c r="AG185" s="193"/>
    </row>
    <row r="186" spans="1:39" ht="15" customHeight="1" x14ac:dyDescent="0.3">
      <c r="S186" s="54"/>
      <c r="T186" s="54"/>
    </row>
    <row r="187" spans="1:39" ht="15" customHeight="1" x14ac:dyDescent="0.3">
      <c r="A187" s="39" t="s">
        <v>85</v>
      </c>
      <c r="B187" s="57"/>
      <c r="C187" s="57"/>
      <c r="D187" s="57"/>
      <c r="E187" s="57"/>
      <c r="F187" s="57"/>
      <c r="G187" s="57"/>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126" t="s">
        <v>394</v>
      </c>
      <c r="AF187" s="243">
        <f>'Form 2D - Design'!AE7</f>
        <v>0</v>
      </c>
      <c r="AG187" s="243"/>
      <c r="AH187" s="243"/>
      <c r="AI187" s="243"/>
      <c r="AJ187" s="243"/>
      <c r="AK187" s="243"/>
      <c r="AL187" s="41"/>
      <c r="AM187" s="21" t="s">
        <v>328</v>
      </c>
    </row>
    <row r="188" spans="1:39" ht="15" customHeight="1" x14ac:dyDescent="0.3">
      <c r="A188" s="42"/>
      <c r="B188" s="8"/>
      <c r="C188" s="8"/>
      <c r="D188" s="8"/>
      <c r="E188" s="8"/>
      <c r="F188" s="8"/>
      <c r="G188" s="8"/>
      <c r="H188" s="8"/>
      <c r="I188" s="8"/>
      <c r="J188" s="43" t="s">
        <v>86</v>
      </c>
      <c r="K188" s="43"/>
      <c r="L188" s="44" t="s">
        <v>182</v>
      </c>
      <c r="M188" s="43"/>
      <c r="N188" s="44"/>
      <c r="O188" s="44"/>
      <c r="P188" s="44"/>
      <c r="Q188" s="8"/>
      <c r="R188" s="8"/>
      <c r="S188" s="8"/>
      <c r="T188" s="8"/>
      <c r="U188" s="8"/>
      <c r="V188" s="8"/>
      <c r="W188" s="8"/>
      <c r="X188" s="8"/>
      <c r="Y188" s="8"/>
      <c r="Z188" s="8"/>
      <c r="AA188" s="8"/>
      <c r="AB188" s="8"/>
      <c r="AC188" s="8"/>
      <c r="AD188" s="8"/>
      <c r="AE188" s="8"/>
      <c r="AF188" s="8"/>
      <c r="AG188" s="8"/>
      <c r="AH188" s="8"/>
      <c r="AI188" s="8"/>
      <c r="AJ188" s="8"/>
      <c r="AK188" s="8"/>
      <c r="AL188" s="45"/>
      <c r="AM188" s="93">
        <f>SUM(AM190:AM212)</f>
        <v>13</v>
      </c>
    </row>
    <row r="189" spans="1:39" ht="15" customHeight="1" x14ac:dyDescent="0.3">
      <c r="A189" s="42"/>
      <c r="B189" s="8"/>
      <c r="C189" s="8"/>
      <c r="D189" s="8"/>
      <c r="E189" s="8"/>
      <c r="F189" s="8"/>
      <c r="G189" s="8"/>
      <c r="H189" s="8"/>
      <c r="I189" s="8"/>
      <c r="J189" s="9"/>
      <c r="K189" s="43"/>
      <c r="L189" s="8"/>
      <c r="M189" s="43"/>
      <c r="N189" s="44"/>
      <c r="O189" s="44"/>
      <c r="P189" s="44"/>
      <c r="Q189" s="8"/>
      <c r="R189" s="8"/>
      <c r="S189" s="8"/>
      <c r="T189" s="8"/>
      <c r="U189" s="8"/>
      <c r="V189" s="8"/>
      <c r="W189" s="8"/>
      <c r="X189" s="8"/>
      <c r="Y189" s="8"/>
      <c r="Z189" s="8"/>
      <c r="AA189" s="8"/>
      <c r="AB189" s="8"/>
      <c r="AC189" s="8"/>
      <c r="AD189" s="8"/>
      <c r="AE189" s="8"/>
      <c r="AF189" s="8"/>
      <c r="AG189" s="8"/>
      <c r="AH189" s="8"/>
      <c r="AI189" s="8"/>
      <c r="AJ189" s="8"/>
      <c r="AK189" s="8"/>
      <c r="AL189" s="45"/>
      <c r="AM189" s="93"/>
    </row>
    <row r="190" spans="1:39" ht="15" customHeight="1" x14ac:dyDescent="0.3">
      <c r="A190" s="42"/>
      <c r="B190" s="8"/>
      <c r="C190" s="8"/>
      <c r="D190" s="8"/>
      <c r="E190" s="8"/>
      <c r="F190" s="8"/>
      <c r="G190" s="8"/>
      <c r="H190" s="8"/>
      <c r="I190" s="8"/>
      <c r="J190" s="96" t="s">
        <v>273</v>
      </c>
      <c r="K190" s="9"/>
      <c r="L190" s="8"/>
      <c r="M190" s="9"/>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45"/>
      <c r="AM190" s="93">
        <f>IF(L190="",0,1)</f>
        <v>0</v>
      </c>
    </row>
    <row r="191" spans="1:39" ht="15" customHeight="1" x14ac:dyDescent="0.3">
      <c r="A191" s="42"/>
      <c r="B191" s="8"/>
      <c r="C191" s="8"/>
      <c r="D191" s="8"/>
      <c r="E191" s="8"/>
      <c r="F191" s="8"/>
      <c r="G191" s="8"/>
      <c r="H191" s="8"/>
      <c r="I191" s="8"/>
      <c r="J191" s="9" t="s">
        <v>279</v>
      </c>
      <c r="K191" s="9"/>
      <c r="L191" s="8" t="str">
        <f>IF(ISBLANK(AH52),Tables!J13,IF(AH52&gt;96,Tables!J13,""))</f>
        <v>Drain time exceeds the recommended 96 hours</v>
      </c>
      <c r="M191" s="9"/>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45"/>
      <c r="AM191" s="93">
        <f t="shared" ref="AM191:AM210" si="12">IF(L191="",0,1)</f>
        <v>1</v>
      </c>
    </row>
    <row r="192" spans="1:39" ht="15" customHeight="1" x14ac:dyDescent="0.3">
      <c r="A192" s="42"/>
      <c r="B192" s="8"/>
      <c r="C192" s="8"/>
      <c r="D192" s="8"/>
      <c r="E192" s="8"/>
      <c r="F192" s="8"/>
      <c r="G192" s="8"/>
      <c r="H192" s="8"/>
      <c r="I192" s="8"/>
      <c r="J192" s="9" t="s">
        <v>280</v>
      </c>
      <c r="K192" s="9"/>
      <c r="L192" s="8" t="str">
        <f>IF(ISBLANK(AH53),Tables!J14,IF(AH53&gt;12,Tables!J14,""))</f>
        <v>Drain time exceeds the recommended 12 hours</v>
      </c>
      <c r="M192" s="9"/>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45"/>
      <c r="AM192" s="93">
        <f t="shared" si="12"/>
        <v>1</v>
      </c>
    </row>
    <row r="193" spans="1:39" ht="15" customHeight="1" x14ac:dyDescent="0.3">
      <c r="A193" s="42"/>
      <c r="B193" s="8"/>
      <c r="C193" s="8"/>
      <c r="D193" s="8"/>
      <c r="E193" s="8"/>
      <c r="F193" s="8"/>
      <c r="G193" s="8"/>
      <c r="H193" s="8"/>
      <c r="I193" s="8"/>
      <c r="J193" s="9" t="s">
        <v>89</v>
      </c>
      <c r="K193" s="9"/>
      <c r="L193" s="8" t="str">
        <f>IF(AP62&gt;1,Tables!J4,IF(AP62=0,"",IF(AP64&lt;6,Tables!J4,"")))</f>
        <v>Emergency Spillway Section not completed</v>
      </c>
      <c r="M193" s="9"/>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45"/>
      <c r="AM193" s="93">
        <f t="shared" si="12"/>
        <v>1</v>
      </c>
    </row>
    <row r="194" spans="1:39" ht="15" customHeight="1" x14ac:dyDescent="0.3">
      <c r="A194" s="42"/>
      <c r="B194" s="8"/>
      <c r="C194" s="8"/>
      <c r="D194" s="8"/>
      <c r="E194" s="8"/>
      <c r="F194" s="8"/>
      <c r="G194" s="8"/>
      <c r="H194" s="8"/>
      <c r="I194" s="8"/>
      <c r="J194" s="9" t="s">
        <v>109</v>
      </c>
      <c r="K194" s="9"/>
      <c r="L194" s="8" t="str">
        <f>IF(AP76&lt;2,Tables!J8,"")</f>
        <v>Latitude and/or Longitude not provided</v>
      </c>
      <c r="M194" s="9"/>
      <c r="N194" s="9"/>
      <c r="O194" s="8"/>
      <c r="P194" s="8"/>
      <c r="Q194" s="8"/>
      <c r="R194" s="8"/>
      <c r="S194" s="8"/>
      <c r="T194" s="8"/>
      <c r="U194" s="8"/>
      <c r="V194" s="8"/>
      <c r="W194" s="8"/>
      <c r="X194" s="8"/>
      <c r="Y194" s="8"/>
      <c r="Z194" s="8"/>
      <c r="AA194" s="8"/>
      <c r="AB194" s="8"/>
      <c r="AC194" s="8"/>
      <c r="AD194" s="8"/>
      <c r="AE194" s="8"/>
      <c r="AF194" s="8"/>
      <c r="AG194" s="8"/>
      <c r="AH194" s="8"/>
      <c r="AI194" s="8"/>
      <c r="AJ194" s="8"/>
      <c r="AK194" s="8"/>
      <c r="AL194" s="45"/>
      <c r="AM194" s="93">
        <f t="shared" si="12"/>
        <v>1</v>
      </c>
    </row>
    <row r="195" spans="1:39" ht="15" customHeight="1" x14ac:dyDescent="0.3">
      <c r="A195" s="42"/>
      <c r="B195" s="8"/>
      <c r="C195" s="8"/>
      <c r="D195" s="8"/>
      <c r="E195" s="8"/>
      <c r="F195" s="8"/>
      <c r="G195" s="8"/>
      <c r="H195" s="8"/>
      <c r="I195" s="8"/>
      <c r="J195" s="9"/>
      <c r="K195" s="9"/>
      <c r="L195" s="8" t="str">
        <f>IF(AND(AS76=1,AS77=1),Tables!$J$17,IF(OR(AS76=3,AS77=3),Tables!$J$17,""))</f>
        <v>Latitude and/or Longitude has been entered as text.  Change to a number.</v>
      </c>
      <c r="M195" s="9"/>
      <c r="N195" s="9"/>
      <c r="O195" s="8"/>
      <c r="P195" s="8"/>
      <c r="Q195" s="8"/>
      <c r="R195" s="8"/>
      <c r="S195" s="8"/>
      <c r="T195" s="8"/>
      <c r="U195" s="8"/>
      <c r="V195" s="8"/>
      <c r="W195" s="8"/>
      <c r="X195" s="8"/>
      <c r="Y195" s="8"/>
      <c r="Z195" s="8"/>
      <c r="AA195" s="8"/>
      <c r="AB195" s="8"/>
      <c r="AC195" s="8"/>
      <c r="AD195" s="8"/>
      <c r="AE195" s="8"/>
      <c r="AF195" s="8"/>
      <c r="AG195" s="8"/>
      <c r="AH195" s="8"/>
      <c r="AI195" s="8"/>
      <c r="AJ195" s="8"/>
      <c r="AK195" s="8"/>
      <c r="AL195" s="45"/>
      <c r="AM195" s="93">
        <f t="shared" si="12"/>
        <v>1</v>
      </c>
    </row>
    <row r="196" spans="1:39" ht="15" customHeight="1" x14ac:dyDescent="0.3">
      <c r="A196" s="42"/>
      <c r="B196" s="8"/>
      <c r="C196" s="8"/>
      <c r="D196" s="8"/>
      <c r="E196" s="8"/>
      <c r="F196" s="8"/>
      <c r="G196" s="8"/>
      <c r="H196" s="8"/>
      <c r="I196" s="8"/>
      <c r="J196" s="9" t="s">
        <v>142</v>
      </c>
      <c r="K196" s="9"/>
      <c r="L196" s="8" t="str">
        <f>IF(AN82=2,Tables!J9,IF(AN80=1,"",Tables!J9))</f>
        <v>WQv Required &gt; WQv Provided</v>
      </c>
      <c r="M196" s="9"/>
      <c r="N196" s="9"/>
      <c r="O196" s="8"/>
      <c r="P196" s="8"/>
      <c r="Q196" s="8"/>
      <c r="R196" s="8"/>
      <c r="S196" s="8"/>
      <c r="T196" s="8"/>
      <c r="U196" s="8"/>
      <c r="V196" s="8"/>
      <c r="W196" s="8"/>
      <c r="X196" s="8"/>
      <c r="Y196" s="8"/>
      <c r="Z196" s="8"/>
      <c r="AA196" s="8"/>
      <c r="AB196" s="8"/>
      <c r="AC196" s="8"/>
      <c r="AD196" s="8"/>
      <c r="AE196" s="8"/>
      <c r="AF196" s="8"/>
      <c r="AG196" s="8"/>
      <c r="AH196" s="8"/>
      <c r="AI196" s="8"/>
      <c r="AJ196" s="8"/>
      <c r="AK196" s="8"/>
      <c r="AL196" s="45"/>
      <c r="AM196" s="93">
        <f t="shared" si="12"/>
        <v>1</v>
      </c>
    </row>
    <row r="197" spans="1:39" ht="15" customHeight="1" x14ac:dyDescent="0.3">
      <c r="A197" s="46"/>
      <c r="B197" s="47"/>
      <c r="C197" s="47"/>
      <c r="D197" s="47"/>
      <c r="E197" s="47"/>
      <c r="F197" s="47"/>
      <c r="G197" s="47"/>
      <c r="H197" s="47"/>
      <c r="I197" s="47"/>
      <c r="J197" s="48"/>
      <c r="K197" s="48"/>
      <c r="L197" s="47"/>
      <c r="M197" s="48"/>
      <c r="N197" s="48"/>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9"/>
      <c r="AM197" s="93"/>
    </row>
    <row r="198" spans="1:39" ht="15" customHeight="1" x14ac:dyDescent="0.3">
      <c r="AK198" s="29"/>
    </row>
    <row r="199" spans="1:39" ht="15" customHeight="1" x14ac:dyDescent="0.3">
      <c r="B199" s="179">
        <f>Tables!$F$13</f>
        <v>45931</v>
      </c>
      <c r="C199" s="179"/>
      <c r="D199" s="179"/>
      <c r="E199" s="179"/>
      <c r="F199" s="179"/>
      <c r="G199" s="179"/>
      <c r="H199" s="179"/>
      <c r="R199" s="180" t="s">
        <v>413</v>
      </c>
      <c r="S199" s="180"/>
      <c r="T199" s="180"/>
      <c r="U199" s="180"/>
      <c r="AK199" s="29"/>
    </row>
    <row r="200" spans="1:39" ht="15" customHeight="1" x14ac:dyDescent="0.3">
      <c r="C200" s="2" t="s">
        <v>1</v>
      </c>
      <c r="D200" s="182">
        <f>IF(ISBLANK($E$7),"",$E$7)</f>
        <v>0</v>
      </c>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34"/>
      <c r="AB200" s="34"/>
      <c r="AC200" s="34"/>
      <c r="AF200" s="2" t="s">
        <v>21</v>
      </c>
      <c r="AG200" s="183">
        <f>$AF$7</f>
        <v>0</v>
      </c>
      <c r="AH200" s="183"/>
      <c r="AI200" s="183"/>
      <c r="AJ200" s="183"/>
      <c r="AK200" s="183"/>
    </row>
    <row r="201" spans="1:39" ht="15" customHeight="1" x14ac:dyDescent="0.3">
      <c r="H201" s="35"/>
      <c r="I201" s="35"/>
      <c r="J201" s="2"/>
      <c r="K201" s="2"/>
      <c r="L201" s="2"/>
      <c r="M201" s="35"/>
      <c r="N201" s="34"/>
      <c r="O201" s="34"/>
      <c r="P201" s="34"/>
      <c r="Q201" s="34"/>
      <c r="R201" s="34"/>
      <c r="S201" s="34"/>
      <c r="T201" s="34"/>
      <c r="U201" s="34"/>
      <c r="V201" s="34"/>
      <c r="W201" s="34"/>
      <c r="X201" s="34"/>
      <c r="Y201" s="34"/>
      <c r="Z201" s="34"/>
      <c r="AA201" s="34"/>
      <c r="AB201" s="34"/>
      <c r="AC201" s="34"/>
      <c r="AF201" s="2" t="s">
        <v>34</v>
      </c>
      <c r="AG201" s="241">
        <f>IF(ISBLANK($AF$8),"",$AF$8)</f>
        <v>0</v>
      </c>
      <c r="AH201" s="241"/>
      <c r="AI201" s="241"/>
      <c r="AJ201" s="241"/>
      <c r="AK201" s="241"/>
    </row>
    <row r="202" spans="1:39" ht="15" customHeight="1" x14ac:dyDescent="0.3">
      <c r="A202" s="81"/>
      <c r="B202" s="81"/>
      <c r="C202" s="81"/>
      <c r="D202" s="81"/>
      <c r="E202" s="81"/>
      <c r="F202" s="81"/>
      <c r="G202" s="81"/>
      <c r="H202" s="81"/>
      <c r="I202" s="81"/>
      <c r="J202" s="112"/>
      <c r="K202" s="112"/>
      <c r="L202" s="81"/>
      <c r="M202" s="112"/>
      <c r="N202" s="112"/>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row>
    <row r="203" spans="1:39" ht="15" customHeight="1" x14ac:dyDescent="0.3">
      <c r="A203" s="39" t="s">
        <v>409</v>
      </c>
      <c r="B203" s="57"/>
      <c r="C203" s="57"/>
      <c r="D203" s="57"/>
      <c r="E203" s="57"/>
      <c r="F203" s="57"/>
      <c r="G203" s="57"/>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1"/>
      <c r="AM203" s="93"/>
    </row>
    <row r="204" spans="1:39" ht="15" customHeight="1" x14ac:dyDescent="0.3">
      <c r="A204" s="42"/>
      <c r="B204" s="8"/>
      <c r="C204" s="8"/>
      <c r="D204" s="8"/>
      <c r="E204" s="8"/>
      <c r="F204" s="8"/>
      <c r="G204" s="8"/>
      <c r="H204" s="8"/>
      <c r="I204" s="8"/>
      <c r="J204" s="96" t="s">
        <v>208</v>
      </c>
      <c r="K204" s="9"/>
      <c r="L204" s="8"/>
      <c r="M204" s="9"/>
      <c r="N204" s="9"/>
      <c r="O204" s="8"/>
      <c r="P204" s="8"/>
      <c r="Q204" s="8"/>
      <c r="R204" s="8"/>
      <c r="S204" s="8"/>
      <c r="T204" s="8"/>
      <c r="U204" s="8"/>
      <c r="V204" s="8"/>
      <c r="W204" s="8"/>
      <c r="X204" s="8"/>
      <c r="Y204" s="8"/>
      <c r="Z204" s="8"/>
      <c r="AA204" s="8"/>
      <c r="AB204" s="8"/>
      <c r="AC204" s="8"/>
      <c r="AD204" s="8"/>
      <c r="AE204" s="8"/>
      <c r="AF204" s="8"/>
      <c r="AG204" s="8"/>
      <c r="AH204" s="8"/>
      <c r="AI204" s="8"/>
      <c r="AJ204" s="8"/>
      <c r="AK204" s="8"/>
      <c r="AL204" s="45"/>
      <c r="AM204" s="93">
        <f t="shared" si="12"/>
        <v>0</v>
      </c>
    </row>
    <row r="205" spans="1:39" ht="15" customHeight="1" x14ac:dyDescent="0.3">
      <c r="A205" s="42"/>
      <c r="B205" s="8"/>
      <c r="C205" s="8"/>
      <c r="D205" s="8"/>
      <c r="E205" s="8"/>
      <c r="F205" s="8"/>
      <c r="G205" s="8"/>
      <c r="H205" s="8"/>
      <c r="I205" s="8"/>
      <c r="J205" s="9" t="s">
        <v>147</v>
      </c>
      <c r="K205" s="9"/>
      <c r="L205" s="8" t="str">
        <f>IF(AM116&gt;0,Tables!J10,"")</f>
        <v>As-Built does not match Design, provide a reason in the Comments section</v>
      </c>
      <c r="M205" s="9"/>
      <c r="N205" s="9"/>
      <c r="O205" s="8"/>
      <c r="P205" s="8"/>
      <c r="Q205" s="8"/>
      <c r="R205" s="8"/>
      <c r="S205" s="8"/>
      <c r="T205" s="8"/>
      <c r="U205" s="8"/>
      <c r="V205" s="8"/>
      <c r="W205" s="8"/>
      <c r="X205" s="8"/>
      <c r="Y205" s="8"/>
      <c r="Z205" s="8"/>
      <c r="AA205" s="8"/>
      <c r="AB205" s="8"/>
      <c r="AC205" s="8"/>
      <c r="AD205" s="8"/>
      <c r="AE205" s="8"/>
      <c r="AF205" s="8"/>
      <c r="AG205" s="8"/>
      <c r="AH205" s="8"/>
      <c r="AI205" s="8"/>
      <c r="AJ205" s="8"/>
      <c r="AK205" s="8"/>
      <c r="AL205" s="45"/>
      <c r="AM205" s="93">
        <f t="shared" si="12"/>
        <v>1</v>
      </c>
    </row>
    <row r="206" spans="1:39" ht="15" customHeight="1" x14ac:dyDescent="0.3">
      <c r="A206" s="42"/>
      <c r="B206" s="8"/>
      <c r="C206" s="8"/>
      <c r="D206" s="8"/>
      <c r="E206" s="8"/>
      <c r="F206" s="8"/>
      <c r="G206" s="8"/>
      <c r="H206" s="8"/>
      <c r="I206" s="8"/>
      <c r="J206" s="9" t="s">
        <v>282</v>
      </c>
      <c r="K206" s="9"/>
      <c r="L206" s="8" t="str">
        <f>IF(AN116&gt;0,Tables!J10,"")</f>
        <v>As-Built does not match Design, provide a reason in the Comments section</v>
      </c>
      <c r="M206" s="9"/>
      <c r="N206" s="9"/>
      <c r="O206" s="8"/>
      <c r="P206" s="8"/>
      <c r="Q206" s="8"/>
      <c r="R206" s="8"/>
      <c r="S206" s="8"/>
      <c r="T206" s="8"/>
      <c r="U206" s="8"/>
      <c r="V206" s="8"/>
      <c r="W206" s="8"/>
      <c r="X206" s="8"/>
      <c r="Y206" s="8"/>
      <c r="Z206" s="8"/>
      <c r="AA206" s="8"/>
      <c r="AB206" s="8"/>
      <c r="AC206" s="8"/>
      <c r="AD206" s="8"/>
      <c r="AE206" s="8"/>
      <c r="AF206" s="8"/>
      <c r="AG206" s="8"/>
      <c r="AH206" s="8"/>
      <c r="AI206" s="8"/>
      <c r="AJ206" s="8"/>
      <c r="AK206" s="8"/>
      <c r="AL206" s="45"/>
      <c r="AM206" s="93">
        <f t="shared" si="12"/>
        <v>1</v>
      </c>
    </row>
    <row r="207" spans="1:39" ht="15" customHeight="1" x14ac:dyDescent="0.3">
      <c r="A207" s="42"/>
      <c r="B207" s="8"/>
      <c r="C207" s="8"/>
      <c r="D207" s="8"/>
      <c r="E207" s="8"/>
      <c r="F207" s="8"/>
      <c r="G207" s="8"/>
      <c r="H207" s="8"/>
      <c r="I207" s="8"/>
      <c r="J207" s="9" t="s">
        <v>84</v>
      </c>
      <c r="K207" s="9"/>
      <c r="L207" s="8" t="str">
        <f>IF(AO116=0,"",Tables!J7)</f>
        <v>Max Stage for 2, 5, 10, 25, and/or 50-year storm  &gt; emergency spillway crest elevation</v>
      </c>
      <c r="M207" s="9"/>
      <c r="N207" s="9"/>
      <c r="O207" s="8"/>
      <c r="P207" s="8"/>
      <c r="Q207" s="8"/>
      <c r="R207" s="8"/>
      <c r="S207" s="8"/>
      <c r="T207" s="8"/>
      <c r="U207" s="8"/>
      <c r="V207" s="8"/>
      <c r="W207" s="8"/>
      <c r="X207" s="8"/>
      <c r="Y207" s="8"/>
      <c r="Z207" s="8"/>
      <c r="AA207" s="8"/>
      <c r="AB207" s="8"/>
      <c r="AC207" s="8"/>
      <c r="AD207" s="8"/>
      <c r="AE207" s="8"/>
      <c r="AF207" s="8"/>
      <c r="AG207" s="8"/>
      <c r="AH207" s="8"/>
      <c r="AI207" s="8"/>
      <c r="AJ207" s="8"/>
      <c r="AK207" s="8"/>
      <c r="AL207" s="45"/>
      <c r="AM207" s="93">
        <f t="shared" si="12"/>
        <v>1</v>
      </c>
    </row>
    <row r="208" spans="1:39" ht="15" customHeight="1" x14ac:dyDescent="0.3">
      <c r="A208" s="42"/>
      <c r="B208" s="8"/>
      <c r="C208" s="8"/>
      <c r="D208" s="8"/>
      <c r="E208" s="8"/>
      <c r="F208" s="8"/>
      <c r="G208" s="8"/>
      <c r="H208" s="8"/>
      <c r="I208" s="8"/>
      <c r="J208" s="9" t="s">
        <v>285</v>
      </c>
      <c r="K208" s="9"/>
      <c r="L208" s="8" t="str">
        <f>IF(AP116&gt;0,Tables!J6,"")</f>
        <v>Velocity &gt; 6 ft/s</v>
      </c>
      <c r="M208" s="9"/>
      <c r="N208" s="9"/>
      <c r="O208" s="8"/>
      <c r="P208" s="8"/>
      <c r="Q208" s="8"/>
      <c r="R208" s="8"/>
      <c r="S208" s="8"/>
      <c r="T208" s="8"/>
      <c r="U208" s="8"/>
      <c r="V208" s="8"/>
      <c r="W208" s="8"/>
      <c r="X208" s="8"/>
      <c r="Y208" s="8"/>
      <c r="Z208" s="8"/>
      <c r="AA208" s="8"/>
      <c r="AB208" s="8"/>
      <c r="AC208" s="8"/>
      <c r="AD208" s="8"/>
      <c r="AE208" s="8"/>
      <c r="AF208" s="8"/>
      <c r="AG208" s="8"/>
      <c r="AH208" s="8"/>
      <c r="AI208" s="8"/>
      <c r="AJ208" s="8"/>
      <c r="AK208" s="8"/>
      <c r="AL208" s="45"/>
      <c r="AM208" s="93">
        <f t="shared" si="12"/>
        <v>1</v>
      </c>
    </row>
    <row r="209" spans="1:39" ht="15" customHeight="1" x14ac:dyDescent="0.3">
      <c r="A209" s="42"/>
      <c r="B209" s="8"/>
      <c r="C209" s="8"/>
      <c r="D209" s="8"/>
      <c r="E209" s="8"/>
      <c r="F209" s="8"/>
      <c r="G209" s="8"/>
      <c r="H209" s="8"/>
      <c r="I209" s="8"/>
      <c r="J209" s="9" t="s">
        <v>90</v>
      </c>
      <c r="K209" s="9"/>
      <c r="L209" s="8" t="str">
        <f>IF(OR(AQ116&gt;0,AS116&gt;0),Tables!J5,"")</f>
        <v>Total Post Q &gt; Pre Q</v>
      </c>
      <c r="M209" s="9"/>
      <c r="N209" s="9"/>
      <c r="O209" s="8"/>
      <c r="P209" s="8"/>
      <c r="Q209" s="8"/>
      <c r="R209" s="8"/>
      <c r="S209" s="8"/>
      <c r="T209" s="8"/>
      <c r="U209" s="8"/>
      <c r="V209" s="8"/>
      <c r="W209" s="8"/>
      <c r="X209" s="8"/>
      <c r="Y209" s="8"/>
      <c r="Z209" s="8"/>
      <c r="AA209" s="8"/>
      <c r="AB209" s="8"/>
      <c r="AC209" s="8"/>
      <c r="AD209" s="8"/>
      <c r="AE209" s="8"/>
      <c r="AF209" s="8"/>
      <c r="AG209" s="8"/>
      <c r="AH209" s="8"/>
      <c r="AI209" s="8"/>
      <c r="AJ209" s="8"/>
      <c r="AK209" s="8"/>
      <c r="AL209" s="45"/>
      <c r="AM209" s="93">
        <f t="shared" si="12"/>
        <v>1</v>
      </c>
    </row>
    <row r="210" spans="1:39" ht="15" customHeight="1" x14ac:dyDescent="0.3">
      <c r="A210" s="42"/>
      <c r="B210" s="8"/>
      <c r="C210" s="8"/>
      <c r="D210" s="8"/>
      <c r="E210" s="8"/>
      <c r="F210" s="8"/>
      <c r="G210" s="8"/>
      <c r="H210" s="8"/>
      <c r="I210" s="8"/>
      <c r="J210" s="9"/>
      <c r="K210" s="9"/>
      <c r="L210" s="8" t="str">
        <f>IF(AQ111="Yes",IF(AND(ISBLANK('Form 2D - Design'!$C$135),ISBLANK('Form 2D - Design'!$F$135)),Tables!$J$18,IF(AND('Form 3D - As-built'!$AQ$116&gt;0,'Form 3D - As-built'!$AP$111=2),Tables!$J$18,"")),"")</f>
        <v/>
      </c>
      <c r="M210" s="9"/>
      <c r="N210" s="9"/>
      <c r="O210" s="8"/>
      <c r="P210" s="8"/>
      <c r="Q210" s="8"/>
      <c r="R210" s="8"/>
      <c r="S210" s="8"/>
      <c r="T210" s="8"/>
      <c r="U210" s="8"/>
      <c r="V210" s="8"/>
      <c r="W210" s="8"/>
      <c r="X210" s="8"/>
      <c r="Y210" s="8"/>
      <c r="Z210" s="8"/>
      <c r="AA210" s="8"/>
      <c r="AB210" s="8"/>
      <c r="AC210" s="8"/>
      <c r="AD210" s="8"/>
      <c r="AE210" s="8"/>
      <c r="AF210" s="8"/>
      <c r="AG210" s="8"/>
      <c r="AH210" s="8"/>
      <c r="AI210" s="8"/>
      <c r="AJ210" s="8"/>
      <c r="AK210" s="8"/>
      <c r="AL210" s="45"/>
      <c r="AM210" s="93">
        <f t="shared" si="12"/>
        <v>0</v>
      </c>
    </row>
    <row r="211" spans="1:39" ht="15" customHeight="1" x14ac:dyDescent="0.3">
      <c r="A211" s="42"/>
      <c r="B211" s="8"/>
      <c r="C211" s="8"/>
      <c r="D211" s="8"/>
      <c r="E211" s="8"/>
      <c r="F211" s="8"/>
      <c r="G211" s="8"/>
      <c r="H211" s="8"/>
      <c r="I211" s="8"/>
      <c r="J211" s="9"/>
      <c r="K211" s="9"/>
      <c r="L211" s="8" t="str">
        <f>IF(AQ112="Yes",IF(AND(ISBLANK('Form 2D - Design'!$C$137),ISBLANK('Form 2D - Design'!$F$137)),Tables!$J$19,IF(AND('Form 3D - As-built'!$AR$116&gt;0,'Form 3D - As-built'!$AP$112=2),Tables!$J$19,"")),"")</f>
        <v>Drains to adjacent property:  25, 50, and 100-yr discharge &gt; 25-yr discharge</v>
      </c>
      <c r="M211" s="9"/>
      <c r="N211" s="9"/>
      <c r="O211" s="8"/>
      <c r="P211" s="8"/>
      <c r="Q211" s="8"/>
      <c r="R211" s="8"/>
      <c r="S211" s="8"/>
      <c r="T211" s="8"/>
      <c r="U211" s="8"/>
      <c r="V211" s="8"/>
      <c r="W211" s="8"/>
      <c r="X211" s="8"/>
      <c r="Y211" s="8"/>
      <c r="Z211" s="8"/>
      <c r="AA211" s="8"/>
      <c r="AB211" s="8"/>
      <c r="AC211" s="8"/>
      <c r="AD211" s="8"/>
      <c r="AE211" s="8"/>
      <c r="AF211" s="8"/>
      <c r="AG211" s="8"/>
      <c r="AH211" s="8"/>
      <c r="AI211" s="8"/>
      <c r="AJ211" s="8"/>
      <c r="AK211" s="8"/>
      <c r="AL211" s="45"/>
      <c r="AM211" s="93">
        <f>IF(L211="",0,1)</f>
        <v>1</v>
      </c>
    </row>
    <row r="212" spans="1:39" ht="15" customHeight="1" x14ac:dyDescent="0.3">
      <c r="A212" s="46"/>
      <c r="B212" s="47"/>
      <c r="C212" s="47"/>
      <c r="D212" s="47"/>
      <c r="E212" s="47"/>
      <c r="F212" s="47"/>
      <c r="G212" s="47"/>
      <c r="H212" s="47"/>
      <c r="I212" s="47"/>
      <c r="J212" s="114" t="s">
        <v>416</v>
      </c>
      <c r="K212" s="48"/>
      <c r="L212" s="115" t="str">
        <f>IF(AM153=8,Tables!J20,IF(AP153&gt;0,Tables!J20,0))</f>
        <v>All required photographs are not provided</v>
      </c>
      <c r="M212" s="48"/>
      <c r="N212" s="48"/>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9"/>
      <c r="AM212" s="93">
        <f>IF(L212="",0,1)</f>
        <v>1</v>
      </c>
    </row>
    <row r="213" spans="1:39" ht="15" customHeight="1" x14ac:dyDescent="0.3"/>
    <row r="214" spans="1:39" ht="15" customHeight="1" x14ac:dyDescent="0.3"/>
    <row r="215" spans="1:39" ht="15" customHeight="1" x14ac:dyDescent="0.3"/>
    <row r="216" spans="1:39" ht="15" customHeight="1" x14ac:dyDescent="0.3"/>
    <row r="217" spans="1:39" ht="15" customHeight="1" x14ac:dyDescent="0.3"/>
    <row r="218" spans="1:39" ht="15" customHeight="1" x14ac:dyDescent="0.3"/>
    <row r="219" spans="1:39" ht="15" customHeight="1" x14ac:dyDescent="0.3"/>
    <row r="220" spans="1:39" ht="15" customHeight="1" x14ac:dyDescent="0.3"/>
    <row r="221" spans="1:39" ht="15" customHeight="1" x14ac:dyDescent="0.3"/>
    <row r="222" spans="1:39" ht="15" customHeight="1" x14ac:dyDescent="0.3"/>
    <row r="223" spans="1:39" ht="15" customHeight="1" x14ac:dyDescent="0.3"/>
    <row r="224" spans="1:39"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spans="2:37" ht="15" customHeight="1" x14ac:dyDescent="0.3">
      <c r="AK241" s="29"/>
    </row>
    <row r="242" spans="2:37" ht="15" customHeight="1" x14ac:dyDescent="0.3">
      <c r="AK242" s="29"/>
    </row>
    <row r="243" spans="2:37" ht="15" customHeight="1" x14ac:dyDescent="0.3">
      <c r="B243" s="179">
        <f>Tables!$F$13</f>
        <v>45931</v>
      </c>
      <c r="C243" s="179"/>
      <c r="D243" s="179"/>
      <c r="E243" s="179"/>
      <c r="F243" s="179"/>
      <c r="G243" s="179"/>
      <c r="H243" s="179"/>
      <c r="R243" s="180" t="s">
        <v>414</v>
      </c>
      <c r="S243" s="180"/>
      <c r="T243" s="180"/>
      <c r="U243" s="180"/>
    </row>
    <row r="244" spans="2:37" ht="15" customHeight="1" x14ac:dyDescent="0.3"/>
    <row r="245" spans="2:37" ht="15" customHeight="1" x14ac:dyDescent="0.3"/>
  </sheetData>
  <sheetProtection algorithmName="SHA-512" hashValue="/1cqG/j6ANg9KmTWfpIBAVBXl2we4Vctzb47BNj1yGWJ/L7QaZEpVTiMWkKVvm19WG22hYPswAC7v9Q0pgXMUQ==" saltValue="qIzXZ1S9IGjpq2lH9J58eA==" spinCount="100000" sheet="1" objects="1" scenarios="1" selectLockedCells="1"/>
  <mergeCells count="358">
    <mergeCell ref="AE6:AK6"/>
    <mergeCell ref="AG14:AI14"/>
    <mergeCell ref="B243:H243"/>
    <mergeCell ref="R243:U243"/>
    <mergeCell ref="E178:Y178"/>
    <mergeCell ref="E179:Y179"/>
    <mergeCell ref="E180:Y180"/>
    <mergeCell ref="E181:K181"/>
    <mergeCell ref="O181:R181"/>
    <mergeCell ref="W181:Y181"/>
    <mergeCell ref="E182:Y182"/>
    <mergeCell ref="E183:I183"/>
    <mergeCell ref="Y27:AB27"/>
    <mergeCell ref="AC185:AG185"/>
    <mergeCell ref="N14:P14"/>
    <mergeCell ref="Z143:AC143"/>
    <mergeCell ref="AH143:AK143"/>
    <mergeCell ref="AE144:AK144"/>
    <mergeCell ref="B58:H58"/>
    <mergeCell ref="R58:U58"/>
    <mergeCell ref="B104:H104"/>
    <mergeCell ref="R104:U104"/>
    <mergeCell ref="AC117:AF117"/>
    <mergeCell ref="M85:P85"/>
    <mergeCell ref="AG97:AJ97"/>
    <mergeCell ref="AG15:AI15"/>
    <mergeCell ref="AG34:AI34"/>
    <mergeCell ref="Y41:AB41"/>
    <mergeCell ref="Y42:AA42"/>
    <mergeCell ref="Y43:AA43"/>
    <mergeCell ref="Y44:AA44"/>
    <mergeCell ref="AH41:AJ41"/>
    <mergeCell ref="AH43:AJ43"/>
    <mergeCell ref="AH44:AJ44"/>
    <mergeCell ref="AG19:AK19"/>
    <mergeCell ref="AG24:AI24"/>
    <mergeCell ref="AG23:AI23"/>
    <mergeCell ref="AG22:AI22"/>
    <mergeCell ref="AG35:AI35"/>
    <mergeCell ref="AB30:AD30"/>
    <mergeCell ref="AG30:AI30"/>
    <mergeCell ref="AB29:AD29"/>
    <mergeCell ref="AG29:AI29"/>
    <mergeCell ref="Y34:AB34"/>
    <mergeCell ref="AB24:AD24"/>
    <mergeCell ref="AB23:AD23"/>
    <mergeCell ref="AB22:AD22"/>
    <mergeCell ref="AH52:AJ52"/>
    <mergeCell ref="AH53:AJ53"/>
    <mergeCell ref="AH49:AJ49"/>
    <mergeCell ref="Y47:AB47"/>
    <mergeCell ref="AH65:AK65"/>
    <mergeCell ref="AG94:AJ94"/>
    <mergeCell ref="AG92:AJ92"/>
    <mergeCell ref="AG90:AJ90"/>
    <mergeCell ref="AG91:AJ91"/>
    <mergeCell ref="AG93:AJ93"/>
    <mergeCell ref="AG86:AJ86"/>
    <mergeCell ref="AG87:AJ87"/>
    <mergeCell ref="AG88:AJ88"/>
    <mergeCell ref="AG85:AJ85"/>
    <mergeCell ref="AG89:AJ89"/>
    <mergeCell ref="AH111:AK111"/>
    <mergeCell ref="AC113:AF113"/>
    <mergeCell ref="N115:Q115"/>
    <mergeCell ref="I113:L113"/>
    <mergeCell ref="N111:Q111"/>
    <mergeCell ref="I115:L115"/>
    <mergeCell ref="N114:Q114"/>
    <mergeCell ref="X115:AA115"/>
    <mergeCell ref="N110:Q110"/>
    <mergeCell ref="I111:L111"/>
    <mergeCell ref="S110:V110"/>
    <mergeCell ref="S111:V111"/>
    <mergeCell ref="C118:D118"/>
    <mergeCell ref="C119:D119"/>
    <mergeCell ref="I122:L122"/>
    <mergeCell ref="N121:Q121"/>
    <mergeCell ref="S121:V121"/>
    <mergeCell ref="S122:V122"/>
    <mergeCell ref="F137:V137"/>
    <mergeCell ref="N112:Q112"/>
    <mergeCell ref="C112:D112"/>
    <mergeCell ref="C113:D113"/>
    <mergeCell ref="F134:V134"/>
    <mergeCell ref="N122:Q122"/>
    <mergeCell ref="I117:L117"/>
    <mergeCell ref="I118:L118"/>
    <mergeCell ref="S117:V117"/>
    <mergeCell ref="S118:V118"/>
    <mergeCell ref="C121:D121"/>
    <mergeCell ref="C122:D122"/>
    <mergeCell ref="C117:D117"/>
    <mergeCell ref="C120:D120"/>
    <mergeCell ref="F135:V135"/>
    <mergeCell ref="I112:L112"/>
    <mergeCell ref="S116:V116"/>
    <mergeCell ref="F136:V136"/>
    <mergeCell ref="N24:P24"/>
    <mergeCell ref="M91:P91"/>
    <mergeCell ref="V96:X96"/>
    <mergeCell ref="J80:L80"/>
    <mergeCell ref="F49:H49"/>
    <mergeCell ref="O48:Q48"/>
    <mergeCell ref="M98:P98"/>
    <mergeCell ref="F138:V138"/>
    <mergeCell ref="S109:V109"/>
    <mergeCell ref="S119:V119"/>
    <mergeCell ref="I110:L110"/>
    <mergeCell ref="V91:X91"/>
    <mergeCell ref="G97:J97"/>
    <mergeCell ref="O53:Q53"/>
    <mergeCell ref="J53:L53"/>
    <mergeCell ref="M89:P89"/>
    <mergeCell ref="V85:X85"/>
    <mergeCell ref="G90:J90"/>
    <mergeCell ref="A108:AL108"/>
    <mergeCell ref="X112:AA112"/>
    <mergeCell ref="X111:AA111"/>
    <mergeCell ref="AH109:AK109"/>
    <mergeCell ref="AH110:AK110"/>
    <mergeCell ref="AC120:AF120"/>
    <mergeCell ref="AH121:AK121"/>
    <mergeCell ref="AG59:AK59"/>
    <mergeCell ref="AG60:AK60"/>
    <mergeCell ref="AG98:AJ98"/>
    <mergeCell ref="AA93:AD93"/>
    <mergeCell ref="AA97:AD97"/>
    <mergeCell ref="AA90:AD90"/>
    <mergeCell ref="AA89:AD89"/>
    <mergeCell ref="AA88:AD88"/>
    <mergeCell ref="AA91:AD91"/>
    <mergeCell ref="AA95:AD95"/>
    <mergeCell ref="AA92:AD92"/>
    <mergeCell ref="AA96:AD96"/>
    <mergeCell ref="AD80:AF80"/>
    <mergeCell ref="AC116:AF116"/>
    <mergeCell ref="AH116:AK116"/>
    <mergeCell ref="AC115:AF115"/>
    <mergeCell ref="AH112:AK112"/>
    <mergeCell ref="AE71:AF71"/>
    <mergeCell ref="X114:AA114"/>
    <mergeCell ref="X113:AA113"/>
    <mergeCell ref="AG106:AK106"/>
    <mergeCell ref="AG105:AK105"/>
    <mergeCell ref="AH115:AK115"/>
    <mergeCell ref="S1:AL4"/>
    <mergeCell ref="O65:R65"/>
    <mergeCell ref="E65:H65"/>
    <mergeCell ref="I76:L76"/>
    <mergeCell ref="I77:L77"/>
    <mergeCell ref="AD76:AG76"/>
    <mergeCell ref="AD77:AG77"/>
    <mergeCell ref="X109:AA109"/>
    <mergeCell ref="X110:AA110"/>
    <mergeCell ref="Y65:AB65"/>
    <mergeCell ref="Y66:AA66"/>
    <mergeCell ref="Y67:AA67"/>
    <mergeCell ref="V97:X97"/>
    <mergeCell ref="G89:J89"/>
    <mergeCell ref="V93:X93"/>
    <mergeCell ref="M97:P97"/>
    <mergeCell ref="G88:J88"/>
    <mergeCell ref="AH48:AJ48"/>
    <mergeCell ref="AC52:AE52"/>
    <mergeCell ref="AC53:AE53"/>
    <mergeCell ref="O44:Q44"/>
    <mergeCell ref="F47:I47"/>
    <mergeCell ref="O47:Q47"/>
    <mergeCell ref="F48:H48"/>
    <mergeCell ref="Z136:AC136"/>
    <mergeCell ref="AA98:AD98"/>
    <mergeCell ref="S112:V112"/>
    <mergeCell ref="S113:V113"/>
    <mergeCell ref="S114:V114"/>
    <mergeCell ref="S115:V115"/>
    <mergeCell ref="X121:AA121"/>
    <mergeCell ref="I119:L119"/>
    <mergeCell ref="N116:Q116"/>
    <mergeCell ref="I116:L116"/>
    <mergeCell ref="X116:AA116"/>
    <mergeCell ref="X117:AA117"/>
    <mergeCell ref="I121:L121"/>
    <mergeCell ref="N117:Q117"/>
    <mergeCell ref="N118:Q118"/>
    <mergeCell ref="S120:V120"/>
    <mergeCell ref="N120:Q120"/>
    <mergeCell ref="X118:AA118"/>
    <mergeCell ref="G98:J98"/>
    <mergeCell ref="D105:Z105"/>
    <mergeCell ref="C111:D111"/>
    <mergeCell ref="AC109:AF109"/>
    <mergeCell ref="AC114:AF114"/>
    <mergeCell ref="AC121:AF121"/>
    <mergeCell ref="X122:AA122"/>
    <mergeCell ref="AC119:AF119"/>
    <mergeCell ref="B125:AK131"/>
    <mergeCell ref="I109:L109"/>
    <mergeCell ref="N109:Q109"/>
    <mergeCell ref="C114:D114"/>
    <mergeCell ref="C115:D115"/>
    <mergeCell ref="AH113:AK113"/>
    <mergeCell ref="AH114:AK114"/>
    <mergeCell ref="I114:L114"/>
    <mergeCell ref="X119:AA119"/>
    <mergeCell ref="X120:AA120"/>
    <mergeCell ref="C110:D110"/>
    <mergeCell ref="AC110:AF110"/>
    <mergeCell ref="AC111:AF111"/>
    <mergeCell ref="N113:Q113"/>
    <mergeCell ref="AC112:AF112"/>
    <mergeCell ref="AC118:AF118"/>
    <mergeCell ref="N119:Q119"/>
    <mergeCell ref="I120:L120"/>
    <mergeCell ref="AH117:AK117"/>
    <mergeCell ref="AH118:AK118"/>
    <mergeCell ref="AH119:AK119"/>
    <mergeCell ref="AH120:AK120"/>
    <mergeCell ref="AH136:AK136"/>
    <mergeCell ref="AC122:AF122"/>
    <mergeCell ref="AH122:AK122"/>
    <mergeCell ref="I22:K22"/>
    <mergeCell ref="I23:K23"/>
    <mergeCell ref="I30:K30"/>
    <mergeCell ref="I24:K24"/>
    <mergeCell ref="N22:P22"/>
    <mergeCell ref="N23:P23"/>
    <mergeCell ref="G87:J87"/>
    <mergeCell ref="I29:K29"/>
    <mergeCell ref="N29:P29"/>
    <mergeCell ref="M86:P86"/>
    <mergeCell ref="M87:P87"/>
    <mergeCell ref="F34:I34"/>
    <mergeCell ref="O34:Q34"/>
    <mergeCell ref="M95:P95"/>
    <mergeCell ref="M96:P96"/>
    <mergeCell ref="M92:P92"/>
    <mergeCell ref="V94:X94"/>
    <mergeCell ref="V95:X95"/>
    <mergeCell ref="G95:J95"/>
    <mergeCell ref="V92:X92"/>
    <mergeCell ref="F44:H44"/>
    <mergeCell ref="O35:Q35"/>
    <mergeCell ref="G84:J84"/>
    <mergeCell ref="O66:Q66"/>
    <mergeCell ref="O67:Q67"/>
    <mergeCell ref="O49:Q49"/>
    <mergeCell ref="J52:L52"/>
    <mergeCell ref="O52:Q52"/>
    <mergeCell ref="D59:Z59"/>
    <mergeCell ref="F42:H42"/>
    <mergeCell ref="F43:H43"/>
    <mergeCell ref="O43:Q43"/>
    <mergeCell ref="M93:P93"/>
    <mergeCell ref="V88:X88"/>
    <mergeCell ref="M88:P88"/>
    <mergeCell ref="V89:X89"/>
    <mergeCell ref="V98:X98"/>
    <mergeCell ref="M94:P94"/>
    <mergeCell ref="AA94:AD94"/>
    <mergeCell ref="E66:G66"/>
    <mergeCell ref="E67:G67"/>
    <mergeCell ref="G96:J96"/>
    <mergeCell ref="E73:F73"/>
    <mergeCell ref="X73:Y73"/>
    <mergeCell ref="AA84:AD84"/>
    <mergeCell ref="V86:X86"/>
    <mergeCell ref="G91:J91"/>
    <mergeCell ref="G85:J85"/>
    <mergeCell ref="G86:J86"/>
    <mergeCell ref="M90:P90"/>
    <mergeCell ref="AA87:AD87"/>
    <mergeCell ref="V87:X87"/>
    <mergeCell ref="AA85:AD85"/>
    <mergeCell ref="AA86:AD86"/>
    <mergeCell ref="AG96:AJ96"/>
    <mergeCell ref="AG95:AJ95"/>
    <mergeCell ref="B85:D85"/>
    <mergeCell ref="V90:X90"/>
    <mergeCell ref="AH47:AJ47"/>
    <mergeCell ref="Y48:AA48"/>
    <mergeCell ref="Y49:AA49"/>
    <mergeCell ref="B92:D92"/>
    <mergeCell ref="B98:D98"/>
    <mergeCell ref="G94:J94"/>
    <mergeCell ref="G92:J92"/>
    <mergeCell ref="G93:J93"/>
    <mergeCell ref="B93:D93"/>
    <mergeCell ref="B94:D94"/>
    <mergeCell ref="B95:D95"/>
    <mergeCell ref="B96:D96"/>
    <mergeCell ref="B97:D97"/>
    <mergeCell ref="B91:D91"/>
    <mergeCell ref="A69:AL69"/>
    <mergeCell ref="H70:P70"/>
    <mergeCell ref="AA70:AI70"/>
    <mergeCell ref="E71:F71"/>
    <mergeCell ref="L71:M71"/>
    <mergeCell ref="X71:Y71"/>
    <mergeCell ref="BK1:CC4"/>
    <mergeCell ref="AU6:BF7"/>
    <mergeCell ref="A82:AL82"/>
    <mergeCell ref="B90:D90"/>
    <mergeCell ref="A12:AL12"/>
    <mergeCell ref="A62:AL62"/>
    <mergeCell ref="A75:AL75"/>
    <mergeCell ref="A79:AL79"/>
    <mergeCell ref="B86:D86"/>
    <mergeCell ref="B87:D87"/>
    <mergeCell ref="B88:D88"/>
    <mergeCell ref="F41:I41"/>
    <mergeCell ref="O41:Q41"/>
    <mergeCell ref="E7:Z7"/>
    <mergeCell ref="N15:P15"/>
    <mergeCell ref="E8:Z8"/>
    <mergeCell ref="F27:I27"/>
    <mergeCell ref="N30:P30"/>
    <mergeCell ref="N19:R19"/>
    <mergeCell ref="AH66:AJ66"/>
    <mergeCell ref="AH67:AJ67"/>
    <mergeCell ref="AF7:AK7"/>
    <mergeCell ref="AF8:AK8"/>
    <mergeCell ref="B89:D89"/>
    <mergeCell ref="Y165:Z165"/>
    <mergeCell ref="AC165:AI165"/>
    <mergeCell ref="B199:H199"/>
    <mergeCell ref="R199:U199"/>
    <mergeCell ref="D200:Z200"/>
    <mergeCell ref="AG200:AK200"/>
    <mergeCell ref="AG201:AK201"/>
    <mergeCell ref="Y167:Z167"/>
    <mergeCell ref="AC167:AI167"/>
    <mergeCell ref="Y169:Z169"/>
    <mergeCell ref="AC169:AI169"/>
    <mergeCell ref="Y171:Z171"/>
    <mergeCell ref="AC171:AI171"/>
    <mergeCell ref="AF187:AK187"/>
    <mergeCell ref="B174:AK177"/>
    <mergeCell ref="AE138:AI138"/>
    <mergeCell ref="F145:V145"/>
    <mergeCell ref="Y157:Z157"/>
    <mergeCell ref="AC157:AI157"/>
    <mergeCell ref="Y159:Z159"/>
    <mergeCell ref="AC159:AI159"/>
    <mergeCell ref="Y161:Z161"/>
    <mergeCell ref="AC161:AI161"/>
    <mergeCell ref="Y163:Z163"/>
    <mergeCell ref="AC163:AI163"/>
    <mergeCell ref="AG151:AK151"/>
    <mergeCell ref="F143:V143"/>
    <mergeCell ref="D150:Z150"/>
    <mergeCell ref="AG150:AK150"/>
    <mergeCell ref="F144:V144"/>
    <mergeCell ref="AE145:AI145"/>
    <mergeCell ref="F141:V141"/>
    <mergeCell ref="F142:V142"/>
    <mergeCell ref="R149:U149"/>
    <mergeCell ref="B149:H149"/>
  </mergeCells>
  <conditionalFormatting sqref="B125:AK131">
    <cfRule type="cellIs" priority="126" stopIfTrue="1" operator="greaterThan">
      <formula>0</formula>
    </cfRule>
    <cfRule type="expression" dxfId="118" priority="127">
      <formula>$AM$188&gt;0</formula>
    </cfRule>
  </conditionalFormatting>
  <conditionalFormatting sqref="C155 E155">
    <cfRule type="expression" dxfId="117" priority="88">
      <formula>ISBLANK(C155)</formula>
    </cfRule>
  </conditionalFormatting>
  <conditionalFormatting sqref="C157 E157">
    <cfRule type="expression" dxfId="116" priority="114">
      <formula>ISBLANK(C157)</formula>
    </cfRule>
  </conditionalFormatting>
  <conditionalFormatting sqref="C159 E159">
    <cfRule type="expression" dxfId="115" priority="61">
      <formula>ISBLANK(C159)</formula>
    </cfRule>
  </conditionalFormatting>
  <conditionalFormatting sqref="C161 E161">
    <cfRule type="expression" dxfId="114" priority="58">
      <formula>ISBLANK(C161)</formula>
    </cfRule>
  </conditionalFormatting>
  <conditionalFormatting sqref="C163 E163">
    <cfRule type="expression" dxfId="113" priority="55">
      <formula>ISBLANK(C163)</formula>
    </cfRule>
  </conditionalFormatting>
  <conditionalFormatting sqref="C165 E165">
    <cfRule type="expression" dxfId="112" priority="52">
      <formula>ISBLANK(C165)</formula>
    </cfRule>
  </conditionalFormatting>
  <conditionalFormatting sqref="C167 E167">
    <cfRule type="expression" dxfId="111" priority="49">
      <formula>ISBLANK(C167)</formula>
    </cfRule>
  </conditionalFormatting>
  <conditionalFormatting sqref="C169 E169">
    <cfRule type="expression" dxfId="110" priority="40">
      <formula>ISBLANK(C169)</formula>
    </cfRule>
  </conditionalFormatting>
  <conditionalFormatting sqref="C171 E171">
    <cfRule type="expression" dxfId="109" priority="37">
      <formula>ISBLANK(C171)</formula>
    </cfRule>
  </conditionalFormatting>
  <conditionalFormatting sqref="D59:Z59">
    <cfRule type="cellIs" dxfId="108" priority="358" operator="equal">
      <formula>0</formula>
    </cfRule>
  </conditionalFormatting>
  <conditionalFormatting sqref="D105:Z105">
    <cfRule type="cellIs" dxfId="107" priority="356" operator="equal">
      <formula>0</formula>
    </cfRule>
  </conditionalFormatting>
  <conditionalFormatting sqref="D150:Z150">
    <cfRule type="cellIs" dxfId="106" priority="351" operator="equal">
      <formula>0</formula>
    </cfRule>
  </conditionalFormatting>
  <conditionalFormatting sqref="D200:Z200">
    <cfRule type="cellIs" dxfId="105" priority="16" operator="equal">
      <formula>0</formula>
    </cfRule>
  </conditionalFormatting>
  <conditionalFormatting sqref="E71:E72">
    <cfRule type="expression" dxfId="104" priority="1313">
      <formula>#REF!</formula>
    </cfRule>
    <cfRule type="expression" priority="1311" stopIfTrue="1">
      <formula>#REF!=2</formula>
    </cfRule>
    <cfRule type="cellIs" priority="1312" stopIfTrue="1" operator="greaterThan">
      <formula>0</formula>
    </cfRule>
  </conditionalFormatting>
  <conditionalFormatting sqref="E155 C155">
    <cfRule type="expression" priority="87" stopIfTrue="1">
      <formula>$AM$155=2</formula>
    </cfRule>
  </conditionalFormatting>
  <conditionalFormatting sqref="E155">
    <cfRule type="expression" dxfId="103" priority="86">
      <formula>$AN$155=2</formula>
    </cfRule>
  </conditionalFormatting>
  <conditionalFormatting sqref="E157 C157">
    <cfRule type="expression" priority="113" stopIfTrue="1">
      <formula>$AM157=2</formula>
    </cfRule>
  </conditionalFormatting>
  <conditionalFormatting sqref="E157">
    <cfRule type="expression" dxfId="102" priority="112">
      <formula>$AN157=2</formula>
    </cfRule>
  </conditionalFormatting>
  <conditionalFormatting sqref="E159 C159">
    <cfRule type="expression" priority="60" stopIfTrue="1">
      <formula>$AM159=2</formula>
    </cfRule>
  </conditionalFormatting>
  <conditionalFormatting sqref="E159">
    <cfRule type="expression" dxfId="101" priority="59">
      <formula>$AN159=2</formula>
    </cfRule>
  </conditionalFormatting>
  <conditionalFormatting sqref="E161 C161">
    <cfRule type="expression" priority="57" stopIfTrue="1">
      <formula>$AM161=2</formula>
    </cfRule>
  </conditionalFormatting>
  <conditionalFormatting sqref="E161">
    <cfRule type="expression" dxfId="100" priority="56">
      <formula>$AN161=2</formula>
    </cfRule>
  </conditionalFormatting>
  <conditionalFormatting sqref="E163 C163">
    <cfRule type="expression" priority="54" stopIfTrue="1">
      <formula>$AM163=2</formula>
    </cfRule>
  </conditionalFormatting>
  <conditionalFormatting sqref="E163">
    <cfRule type="expression" dxfId="99" priority="53">
      <formula>$AN163=2</formula>
    </cfRule>
  </conditionalFormatting>
  <conditionalFormatting sqref="E165 C165">
    <cfRule type="expression" priority="51" stopIfTrue="1">
      <formula>$AM165=2</formula>
    </cfRule>
  </conditionalFormatting>
  <conditionalFormatting sqref="E165">
    <cfRule type="expression" dxfId="98" priority="50">
      <formula>$AN165=2</formula>
    </cfRule>
  </conditionalFormatting>
  <conditionalFormatting sqref="E167 C167">
    <cfRule type="expression" priority="48" stopIfTrue="1">
      <formula>$AM167=2</formula>
    </cfRule>
  </conditionalFormatting>
  <conditionalFormatting sqref="E167">
    <cfRule type="expression" dxfId="97" priority="47">
      <formula>$AN167=2</formula>
    </cfRule>
  </conditionalFormatting>
  <conditionalFormatting sqref="E169 C169">
    <cfRule type="expression" priority="39" stopIfTrue="1">
      <formula>$AM169=2</formula>
    </cfRule>
  </conditionalFormatting>
  <conditionalFormatting sqref="E169">
    <cfRule type="expression" dxfId="96" priority="38">
      <formula>$AN169=2</formula>
    </cfRule>
  </conditionalFormatting>
  <conditionalFormatting sqref="E171 C171">
    <cfRule type="expression" priority="36" stopIfTrue="1">
      <formula>$AM171=2</formula>
    </cfRule>
  </conditionalFormatting>
  <conditionalFormatting sqref="E171">
    <cfRule type="expression" dxfId="95" priority="35">
      <formula>$AN171=2</formula>
    </cfRule>
  </conditionalFormatting>
  <conditionalFormatting sqref="E178:E179">
    <cfRule type="expression" dxfId="94" priority="123">
      <formula>ISBLANK(E178)</formula>
    </cfRule>
  </conditionalFormatting>
  <conditionalFormatting sqref="E180:Y180 E181:E183">
    <cfRule type="expression" dxfId="93" priority="121">
      <formula>ISBLANK(E180)</formula>
    </cfRule>
  </conditionalFormatting>
  <conditionalFormatting sqref="E7:Z8 AF8">
    <cfRule type="cellIs" dxfId="92" priority="345" operator="equal">
      <formula>0</formula>
    </cfRule>
  </conditionalFormatting>
  <conditionalFormatting sqref="F134:F138">
    <cfRule type="expression" dxfId="91" priority="14">
      <formula>ISBLANK(F134)</formula>
    </cfRule>
  </conditionalFormatting>
  <conditionalFormatting sqref="F141:F145 Z143 AH143 AE144:AE145">
    <cfRule type="expression" priority="366" stopIfTrue="1">
      <formula>$AM$140=2</formula>
    </cfRule>
    <cfRule type="expression" dxfId="90" priority="454">
      <formula>ISBLANK(F141)</formula>
    </cfRule>
  </conditionalFormatting>
  <conditionalFormatting sqref="G10 N10 Z10 AH10">
    <cfRule type="expression" dxfId="89" priority="364">
      <formula>ISBLANK(G10)</formula>
    </cfRule>
  </conditionalFormatting>
  <conditionalFormatting sqref="I117:I122">
    <cfRule type="cellIs" dxfId="88" priority="519" operator="notEqual">
      <formula>$I110</formula>
    </cfRule>
    <cfRule type="expression" dxfId="87" priority="518" stopIfTrue="1">
      <formula>ISBLANK(I117)</formula>
    </cfRule>
  </conditionalFormatting>
  <conditionalFormatting sqref="M73 P73">
    <cfRule type="expression" dxfId="86" priority="5">
      <formula>#REF!=1</formula>
    </cfRule>
  </conditionalFormatting>
  <conditionalFormatting sqref="N110:N115">
    <cfRule type="expression" dxfId="85" priority="1153">
      <formula>ISBLANK(N110)</formula>
    </cfRule>
  </conditionalFormatting>
  <conditionalFormatting sqref="N117:N122">
    <cfRule type="cellIs" dxfId="84" priority="513" operator="notEqual">
      <formula>$N110</formula>
    </cfRule>
    <cfRule type="expression" dxfId="83" priority="512" stopIfTrue="1">
      <formula>ISBLANK(N117)</formula>
    </cfRule>
  </conditionalFormatting>
  <conditionalFormatting sqref="O181 W181">
    <cfRule type="expression" dxfId="82" priority="120">
      <formula>ISBLANK(O181)</formula>
    </cfRule>
  </conditionalFormatting>
  <conditionalFormatting sqref="P73">
    <cfRule type="expression" dxfId="81" priority="6">
      <formula>#REF!=2</formula>
    </cfRule>
  </conditionalFormatting>
  <conditionalFormatting sqref="S110:S115 X110:X115 AC110:AC115">
    <cfRule type="expression" dxfId="80" priority="453">
      <formula>ISBLANK(S110)</formula>
    </cfRule>
  </conditionalFormatting>
  <conditionalFormatting sqref="S117:S122 X117:X122 AC117:AC122">
    <cfRule type="expression" dxfId="79" priority="132" stopIfTrue="1">
      <formula>ISBLANK(S117)</formula>
    </cfRule>
  </conditionalFormatting>
  <conditionalFormatting sqref="V85:X85">
    <cfRule type="expression" dxfId="78" priority="128">
      <formula>ISBLANK($V$85)</formula>
    </cfRule>
  </conditionalFormatting>
  <conditionalFormatting sqref="X117:X121">
    <cfRule type="cellIs" dxfId="77" priority="511" operator="greaterThan">
      <formula>$Y$67</formula>
    </cfRule>
  </conditionalFormatting>
  <conditionalFormatting sqref="X117:AA121">
    <cfRule type="expression" priority="363" stopIfTrue="1">
      <formula>$AS$64=1</formula>
    </cfRule>
  </conditionalFormatting>
  <conditionalFormatting sqref="Y19 AB19">
    <cfRule type="cellIs" priority="300" stopIfTrue="1" operator="greaterThan">
      <formula>0</formula>
    </cfRule>
    <cfRule type="expression" priority="301" stopIfTrue="1">
      <formula>$AM$19=2</formula>
    </cfRule>
    <cfRule type="expression" dxfId="76" priority="302">
      <formula>ISBLANK(AB19)</formula>
    </cfRule>
  </conditionalFormatting>
  <conditionalFormatting sqref="Y47 AH47 AC52:AE53 AH52:AJ53">
    <cfRule type="expression" dxfId="75" priority="150">
      <formula>ISBLANK(Y47)</formula>
    </cfRule>
  </conditionalFormatting>
  <conditionalFormatting sqref="Y157 AC157">
    <cfRule type="cellIs" priority="110" stopIfTrue="1" operator="greaterThan">
      <formula>0</formula>
    </cfRule>
    <cfRule type="expression" dxfId="74" priority="111">
      <formula>$AO157=2</formula>
    </cfRule>
  </conditionalFormatting>
  <conditionalFormatting sqref="Y159 AC159">
    <cfRule type="expression" dxfId="73" priority="34">
      <formula>$AO159=2</formula>
    </cfRule>
    <cfRule type="cellIs" priority="33" stopIfTrue="1" operator="greaterThan">
      <formula>0</formula>
    </cfRule>
  </conditionalFormatting>
  <conditionalFormatting sqref="Y161 AC161">
    <cfRule type="expression" dxfId="72" priority="32">
      <formula>$AO161=2</formula>
    </cfRule>
    <cfRule type="cellIs" priority="31" stopIfTrue="1" operator="greaterThan">
      <formula>0</formula>
    </cfRule>
  </conditionalFormatting>
  <conditionalFormatting sqref="Y163 AC163">
    <cfRule type="expression" dxfId="71" priority="30">
      <formula>$AO163=2</formula>
    </cfRule>
    <cfRule type="cellIs" priority="29" stopIfTrue="1" operator="greaterThan">
      <formula>0</formula>
    </cfRule>
  </conditionalFormatting>
  <conditionalFormatting sqref="Y165 AC165">
    <cfRule type="expression" dxfId="70" priority="28">
      <formula>$AO165=2</formula>
    </cfRule>
    <cfRule type="cellIs" priority="27" stopIfTrue="1" operator="greaterThan">
      <formula>0</formula>
    </cfRule>
  </conditionalFormatting>
  <conditionalFormatting sqref="Y167 AC167">
    <cfRule type="expression" dxfId="69" priority="26">
      <formula>$AO167=2</formula>
    </cfRule>
    <cfRule type="cellIs" priority="25" stopIfTrue="1" operator="greaterThan">
      <formula>0</formula>
    </cfRule>
  </conditionalFormatting>
  <conditionalFormatting sqref="Y169 AC169">
    <cfRule type="cellIs" priority="19" stopIfTrue="1" operator="greaterThan">
      <formula>0</formula>
    </cfRule>
    <cfRule type="expression" dxfId="68" priority="20">
      <formula>$AO169=2</formula>
    </cfRule>
  </conditionalFormatting>
  <conditionalFormatting sqref="Y171 AC171">
    <cfRule type="cellIs" priority="17" stopIfTrue="1" operator="greaterThan">
      <formula>0</formula>
    </cfRule>
    <cfRule type="expression" dxfId="67" priority="18">
      <formula>$AO171=2</formula>
    </cfRule>
  </conditionalFormatting>
  <conditionalFormatting sqref="Y42:AA42">
    <cfRule type="cellIs" priority="160" stopIfTrue="1" operator="greaterThan">
      <formula>0</formula>
    </cfRule>
    <cfRule type="expression" dxfId="66" priority="161">
      <formula>ISBLANK(Y42)</formula>
    </cfRule>
    <cfRule type="expression" priority="159" stopIfTrue="1">
      <formula>$AM$43=2</formula>
    </cfRule>
  </conditionalFormatting>
  <conditionalFormatting sqref="Y42:AA44 AH43:AJ44">
    <cfRule type="expression" priority="151" stopIfTrue="1">
      <formula>$AM$37=2</formula>
    </cfRule>
  </conditionalFormatting>
  <conditionalFormatting sqref="Y43:AA43 AH43:AJ43">
    <cfRule type="expression" dxfId="65" priority="157">
      <formula>ISBLANK(Y43)</formula>
    </cfRule>
    <cfRule type="expression" priority="155" stopIfTrue="1">
      <formula>$AM$42=2</formula>
    </cfRule>
    <cfRule type="cellIs" priority="156" stopIfTrue="1" operator="greaterThan">
      <formula>0</formula>
    </cfRule>
  </conditionalFormatting>
  <conditionalFormatting sqref="Y44:AA44 AH44:AJ44">
    <cfRule type="expression" dxfId="64" priority="153">
      <formula>ISBLANK(Y44)</formula>
    </cfRule>
    <cfRule type="cellIs" priority="152" stopIfTrue="1" operator="greaterThan">
      <formula>0</formula>
    </cfRule>
  </conditionalFormatting>
  <conditionalFormatting sqref="Y48:AA48">
    <cfRule type="expression" dxfId="63" priority="148">
      <formula>ISBLANK(Y48)</formula>
    </cfRule>
    <cfRule type="cellIs" priority="147" stopIfTrue="1" operator="greaterThan">
      <formula>0</formula>
    </cfRule>
    <cfRule type="expression" priority="146" stopIfTrue="1">
      <formula>$AM$49=2</formula>
    </cfRule>
  </conditionalFormatting>
  <conditionalFormatting sqref="Y49:AA49 AH49:AJ49">
    <cfRule type="expression" priority="143" stopIfTrue="1">
      <formula>$AM$48=2</formula>
    </cfRule>
  </conditionalFormatting>
  <conditionalFormatting sqref="Y27:AB27 AB29:AD30 AG29:AI30">
    <cfRule type="expression" priority="180" stopIfTrue="1">
      <formula>$AM$26=2</formula>
    </cfRule>
    <cfRule type="cellIs" priority="179" stopIfTrue="1" operator="greaterThan">
      <formula>0</formula>
    </cfRule>
    <cfRule type="expression" dxfId="62" priority="181">
      <formula>ISBLANK(Y27)</formula>
    </cfRule>
  </conditionalFormatting>
  <conditionalFormatting sqref="Y34:AB34 AG34:AI35">
    <cfRule type="cellIs" priority="172" stopIfTrue="1" operator="greaterThan">
      <formula>0</formula>
    </cfRule>
    <cfRule type="expression" dxfId="61" priority="174">
      <formula>ISBLANK(Y34)</formula>
    </cfRule>
    <cfRule type="expression" priority="173" stopIfTrue="1">
      <formula>$AM$32=2</formula>
    </cfRule>
  </conditionalFormatting>
  <conditionalFormatting sqref="Y41:AB41 AH41:AJ41">
    <cfRule type="expression" dxfId="60" priority="164">
      <formula>ISBLANK(AA41)</formula>
    </cfRule>
    <cfRule type="cellIs" priority="163" stopIfTrue="1" operator="greaterThan">
      <formula>0</formula>
    </cfRule>
    <cfRule type="expression" priority="162" stopIfTrue="1">
      <formula>$AM$37=2</formula>
    </cfRule>
  </conditionalFormatting>
  <conditionalFormatting sqref="Y65:AB65 AH65:AK65 Y66:AA67 AH66:AJ67">
    <cfRule type="expression" dxfId="59" priority="137">
      <formula>ISBLANK(Y65)</formula>
    </cfRule>
    <cfRule type="cellIs" priority="136" stopIfTrue="1" operator="greaterThan">
      <formula>0</formula>
    </cfRule>
    <cfRule type="expression" priority="135" stopIfTrue="1">
      <formula>$AN$64=2</formula>
    </cfRule>
  </conditionalFormatting>
  <conditionalFormatting sqref="Z64 AC64">
    <cfRule type="cellIs" priority="139" stopIfTrue="1" operator="greaterThan">
      <formula>0</formula>
    </cfRule>
    <cfRule type="expression" dxfId="58" priority="140">
      <formula>ISBLANK(Z64)</formula>
    </cfRule>
    <cfRule type="expression" priority="138" stopIfTrue="1">
      <formula>$AM$64=2</formula>
    </cfRule>
  </conditionalFormatting>
  <conditionalFormatting sqref="Z136 AH136">
    <cfRule type="expression" dxfId="57" priority="368">
      <formula>ISBLANK(Z136)</formula>
    </cfRule>
  </conditionalFormatting>
  <conditionalFormatting sqref="AA85">
    <cfRule type="expression" priority="362" stopIfTrue="1">
      <formula>$AM$85=1</formula>
    </cfRule>
    <cfRule type="expression" dxfId="56" priority="425">
      <formula>$AP$85=2</formula>
    </cfRule>
  </conditionalFormatting>
  <conditionalFormatting sqref="AA85:AA98 AG85:AG98">
    <cfRule type="cellIs" priority="370" stopIfTrue="1" operator="greaterThan">
      <formula>0</formula>
    </cfRule>
  </conditionalFormatting>
  <conditionalFormatting sqref="AA86 AG86">
    <cfRule type="expression" dxfId="55" priority="407">
      <formula>$AP$86=2</formula>
    </cfRule>
  </conditionalFormatting>
  <conditionalFormatting sqref="AA87 AG87">
    <cfRule type="expression" dxfId="54" priority="405">
      <formula>$AP$87=2</formula>
    </cfRule>
  </conditionalFormatting>
  <conditionalFormatting sqref="AA88 AG88">
    <cfRule type="expression" dxfId="53" priority="403">
      <formula>$AP$88=2</formula>
    </cfRule>
  </conditionalFormatting>
  <conditionalFormatting sqref="AA89">
    <cfRule type="expression" dxfId="52" priority="423">
      <formula>$AP$89=2</formula>
    </cfRule>
  </conditionalFormatting>
  <conditionalFormatting sqref="AA90">
    <cfRule type="expression" dxfId="51" priority="421">
      <formula>$AP$90=2</formula>
    </cfRule>
  </conditionalFormatting>
  <conditionalFormatting sqref="AA91 AG91">
    <cfRule type="expression" dxfId="50" priority="397">
      <formula>$AP$91=2</formula>
    </cfRule>
  </conditionalFormatting>
  <conditionalFormatting sqref="AA92">
    <cfRule type="expression" dxfId="49" priority="411">
      <formula>$AP$92=2</formula>
    </cfRule>
  </conditionalFormatting>
  <conditionalFormatting sqref="AA93">
    <cfRule type="expression" dxfId="48" priority="387">
      <formula>$AP$93=2</formula>
    </cfRule>
  </conditionalFormatting>
  <conditionalFormatting sqref="AA94">
    <cfRule type="expression" dxfId="47" priority="385">
      <formula>$AP$94=2</formula>
    </cfRule>
  </conditionalFormatting>
  <conditionalFormatting sqref="AA95 AG95">
    <cfRule type="expression" dxfId="46" priority="383">
      <formula>$AP$95=2</formula>
    </cfRule>
  </conditionalFormatting>
  <conditionalFormatting sqref="AA96 AG96">
    <cfRule type="expression" dxfId="45" priority="381">
      <formula>$AP$96=2</formula>
    </cfRule>
  </conditionalFormatting>
  <conditionalFormatting sqref="AA97 AG97">
    <cfRule type="expression" dxfId="44" priority="379">
      <formula>$AP$97=2</formula>
    </cfRule>
  </conditionalFormatting>
  <conditionalFormatting sqref="AA98 AG98">
    <cfRule type="expression" dxfId="43" priority="377">
      <formula>$AP$98=2</formula>
    </cfRule>
  </conditionalFormatting>
  <conditionalFormatting sqref="AA70:AI70 X71:Y71 AE71:AF71 X73:Y73">
    <cfRule type="expression" dxfId="42" priority="4">
      <formula>ISBLANK(X70)</formula>
    </cfRule>
  </conditionalFormatting>
  <conditionalFormatting sqref="AB22:AD24 AG22:AI24">
    <cfRule type="cellIs" priority="291" stopIfTrue="1" operator="greaterThan">
      <formula>0</formula>
    </cfRule>
    <cfRule type="expression" dxfId="41" priority="292">
      <formula>ISBLANK(AG22)</formula>
    </cfRule>
  </conditionalFormatting>
  <conditionalFormatting sqref="AC110:AC115">
    <cfRule type="cellIs" dxfId="40" priority="456" operator="greaterThan">
      <formula>6</formula>
    </cfRule>
  </conditionalFormatting>
  <conditionalFormatting sqref="AC117:AC122">
    <cfRule type="cellIs" dxfId="39" priority="1297" operator="greaterThan">
      <formula>$AQ$109</formula>
    </cfRule>
  </conditionalFormatting>
  <conditionalFormatting sqref="AC185">
    <cfRule type="expression" dxfId="38" priority="122">
      <formula>ISBLANK(AC185)</formula>
    </cfRule>
  </conditionalFormatting>
  <conditionalFormatting sqref="AD26">
    <cfRule type="cellIs" priority="178" stopIfTrue="1" operator="greaterThan">
      <formula>0</formula>
    </cfRule>
    <cfRule type="expression" priority="182" stopIfTrue="1">
      <formula>$AM$27=2</formula>
    </cfRule>
    <cfRule type="expression" dxfId="37" priority="183">
      <formula>ISBLANK(AD26)</formula>
    </cfRule>
  </conditionalFormatting>
  <conditionalFormatting sqref="AD32">
    <cfRule type="expression" dxfId="36" priority="177">
      <formula>ISBLANK(AD32)</formula>
    </cfRule>
    <cfRule type="expression" priority="176" stopIfTrue="1">
      <formula>$AM$34=2</formula>
    </cfRule>
    <cfRule type="cellIs" priority="175" stopIfTrue="1" operator="greaterThan">
      <formula>0</formula>
    </cfRule>
  </conditionalFormatting>
  <conditionalFormatting sqref="AD37">
    <cfRule type="expression" dxfId="35" priority="171">
      <formula>ISBLANK(AD37)</formula>
    </cfRule>
    <cfRule type="expression" priority="170" stopIfTrue="1">
      <formula>$AM$41=2</formula>
    </cfRule>
    <cfRule type="cellIs" priority="169" stopIfTrue="1" operator="greaterThan">
      <formula>0</formula>
    </cfRule>
  </conditionalFormatting>
  <conditionalFormatting sqref="AD76:AD77">
    <cfRule type="expression" dxfId="34" priority="449">
      <formula>ISBLANK(AD76)</formula>
    </cfRule>
  </conditionalFormatting>
  <conditionalFormatting sqref="AD80">
    <cfRule type="expression" dxfId="33" priority="508">
      <formula>ISBLANK(AD80)</formula>
    </cfRule>
    <cfRule type="cellIs" dxfId="32" priority="509" operator="lessThan">
      <formula>$J80</formula>
    </cfRule>
  </conditionalFormatting>
  <conditionalFormatting sqref="AD140">
    <cfRule type="expression" dxfId="31" priority="369">
      <formula>ISBLANK(AD140)</formula>
    </cfRule>
    <cfRule type="expression" priority="131" stopIfTrue="1">
      <formula>$AM$141=2</formula>
    </cfRule>
  </conditionalFormatting>
  <conditionalFormatting sqref="AD76:AG76">
    <cfRule type="expression" dxfId="30" priority="11">
      <formula>$AS$76=3</formula>
    </cfRule>
  </conditionalFormatting>
  <conditionalFormatting sqref="AD77:AG77">
    <cfRule type="expression" dxfId="29" priority="10">
      <formula>$AS$77=3</formula>
    </cfRule>
  </conditionalFormatting>
  <conditionalFormatting sqref="AE138:AI138">
    <cfRule type="expression" dxfId="28" priority="367">
      <formula>ISBLANK(AE138)</formula>
    </cfRule>
  </conditionalFormatting>
  <conditionalFormatting sqref="AE6:AK6">
    <cfRule type="cellIs" dxfId="27" priority="1" operator="equal">
      <formula>0</formula>
    </cfRule>
  </conditionalFormatting>
  <conditionalFormatting sqref="AF7">
    <cfRule type="expression" dxfId="26" priority="125">
      <formula>ISBLANK(AF7)</formula>
    </cfRule>
  </conditionalFormatting>
  <conditionalFormatting sqref="AG14:AG15">
    <cfRule type="expression" dxfId="25" priority="265">
      <formula>ISBLANK(AG14)</formula>
    </cfRule>
  </conditionalFormatting>
  <conditionalFormatting sqref="AG15">
    <cfRule type="cellIs" priority="264" stopIfTrue="1" operator="greaterThan">
      <formula>0</formula>
    </cfRule>
  </conditionalFormatting>
  <conditionalFormatting sqref="AG17 AJ17">
    <cfRule type="expression" dxfId="24" priority="185">
      <formula>ISBLANK(AG17)</formula>
    </cfRule>
    <cfRule type="expression" priority="184" stopIfTrue="1">
      <formula>$AM$17=2</formula>
    </cfRule>
  </conditionalFormatting>
  <conditionalFormatting sqref="AG39 AJ39">
    <cfRule type="expression" priority="165" stopIfTrue="1">
      <formula>$AM$37=2</formula>
    </cfRule>
    <cfRule type="cellIs" priority="166" stopIfTrue="1" operator="greaterThan">
      <formula>0</formula>
    </cfRule>
    <cfRule type="expression" priority="167" stopIfTrue="1">
      <formula>$AM$39=2</formula>
    </cfRule>
    <cfRule type="expression" dxfId="23" priority="168">
      <formula>ISBLANK(AG39)</formula>
    </cfRule>
  </conditionalFormatting>
  <conditionalFormatting sqref="AG85">
    <cfRule type="expression" priority="408" stopIfTrue="1">
      <formula>$AN$85=1</formula>
    </cfRule>
    <cfRule type="expression" dxfId="22" priority="459">
      <formula>$AP$85=2</formula>
    </cfRule>
  </conditionalFormatting>
  <conditionalFormatting sqref="AG89">
    <cfRule type="expression" dxfId="21" priority="401">
      <formula>$AP$89=2</formula>
    </cfRule>
  </conditionalFormatting>
  <conditionalFormatting sqref="AG90">
    <cfRule type="expression" dxfId="20" priority="399">
      <formula>$AP$90=2</formula>
    </cfRule>
  </conditionalFormatting>
  <conditionalFormatting sqref="AG92">
    <cfRule type="expression" dxfId="19" priority="389">
      <formula>$AP$92=2</formula>
    </cfRule>
  </conditionalFormatting>
  <conditionalFormatting sqref="AG93">
    <cfRule type="expression" dxfId="18" priority="415">
      <formula>$AP$93=2</formula>
    </cfRule>
  </conditionalFormatting>
  <conditionalFormatting sqref="AG94">
    <cfRule type="expression" dxfId="17" priority="413">
      <formula>$AP$94=2</formula>
    </cfRule>
  </conditionalFormatting>
  <conditionalFormatting sqref="AG19:AK19">
    <cfRule type="cellIs" priority="298" stopIfTrue="1" operator="greaterThan">
      <formula>0</formula>
    </cfRule>
    <cfRule type="expression" dxfId="16" priority="299">
      <formula>$AN$19=2</formula>
    </cfRule>
  </conditionalFormatting>
  <conditionalFormatting sqref="AG59:AK60">
    <cfRule type="cellIs" dxfId="15" priority="344" operator="equal">
      <formula>0</formula>
    </cfRule>
  </conditionalFormatting>
  <conditionalFormatting sqref="AG105:AK106">
    <cfRule type="cellIs" dxfId="14" priority="343" operator="equal">
      <formula>0</formula>
    </cfRule>
  </conditionalFormatting>
  <conditionalFormatting sqref="AG150:AK151">
    <cfRule type="cellIs" dxfId="13" priority="332" operator="equal">
      <formula>0</formula>
    </cfRule>
  </conditionalFormatting>
  <conditionalFormatting sqref="AG200:AK201">
    <cfRule type="cellIs" dxfId="12" priority="15" operator="equal">
      <formula>0</formula>
    </cfRule>
  </conditionalFormatting>
  <conditionalFormatting sqref="AH48:AJ49 Y49:AA49">
    <cfRule type="cellIs" priority="144" stopIfTrue="1" operator="greaterThan">
      <formula>0</formula>
    </cfRule>
    <cfRule type="expression" dxfId="11" priority="145">
      <formula>ISBLANK(Y48)</formula>
    </cfRule>
  </conditionalFormatting>
  <conditionalFormatting sqref="AH52:AJ52">
    <cfRule type="cellIs" dxfId="10" priority="134" operator="greaterThan">
      <formula>96</formula>
    </cfRule>
  </conditionalFormatting>
  <conditionalFormatting sqref="AH52:AJ53 Y47 AH47 AC52:AE53">
    <cfRule type="cellIs" priority="149" stopIfTrue="1" operator="greaterThan">
      <formula>0</formula>
    </cfRule>
  </conditionalFormatting>
  <conditionalFormatting sqref="AH53:AJ53">
    <cfRule type="cellIs" dxfId="9" priority="133" operator="greaterThan">
      <formula>12</formula>
    </cfRule>
  </conditionalFormatting>
  <conditionalFormatting sqref="AH110:AK115">
    <cfRule type="expression" dxfId="8" priority="13">
      <formula>$AM110=1</formula>
    </cfRule>
    <cfRule type="expression" dxfId="7" priority="119">
      <formula>$AO110=1</formula>
    </cfRule>
    <cfRule type="expression" dxfId="6" priority="118">
      <formula>$AN110=1</formula>
    </cfRule>
  </conditionalFormatting>
  <conditionalFormatting sqref="AH117:AK122">
    <cfRule type="expression" dxfId="5" priority="12">
      <formula>ISBLANK($AH117)</formula>
    </cfRule>
    <cfRule type="expression" dxfId="4" priority="115">
      <formula>$AS117=1</formula>
    </cfRule>
    <cfRule type="expression" dxfId="3" priority="117">
      <formula>$AR117=1</formula>
    </cfRule>
    <cfRule type="expression" dxfId="2" priority="116">
      <formula>$AQ117=1</formula>
    </cfRule>
  </conditionalFormatting>
  <conditionalFormatting sqref="AI73 AF73">
    <cfRule type="expression" dxfId="1" priority="3">
      <formula>$AN$73=1</formula>
    </cfRule>
  </conditionalFormatting>
  <conditionalFormatting sqref="AI73">
    <cfRule type="expression" dxfId="0" priority="2">
      <formula>$AO$73=2</formula>
    </cfRule>
  </conditionalFormatting>
  <pageMargins left="0.2" right="0.2" top="0.5" bottom="0.25" header="0.3" footer="0.3"/>
  <pageSetup orientation="portrait" r:id="rId1"/>
  <rowBreaks count="4" manualBreakCount="4">
    <brk id="58" max="16383" man="1"/>
    <brk id="104" max="16383" man="1"/>
    <brk id="149" max="16383" man="1"/>
    <brk id="199" max="16383" man="1"/>
  </rowBreaks>
  <colBreaks count="1" manualBreakCount="1">
    <brk id="45"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Y65 Y34 Y47 Y41 Y27</xm:sqref>
        </x14:dataValidation>
        <x14:dataValidation type="list" allowBlank="1" showInputMessage="1" showErrorMessage="1" xr:uid="{15328467-34E1-4429-BBED-E9EF3D4805F6}">
          <x14:formula1>
            <xm:f>Tables!$F$2:$F$7</xm:f>
          </x14:formula1>
          <xm:sqref>AH65 W59:Y60 AH47 AH41 H59:H60</xm:sqref>
        </x14:dataValidation>
        <x14:dataValidation type="list" allowBlank="1" showInputMessage="1" showErrorMessage="1" xr:uid="{39B9F0B8-9D95-4F97-B1BF-960D541DAEB6}">
          <x14:formula1>
            <xm:f>Tables!$H$9:$H$14</xm:f>
          </x14:formula1>
          <xm:sqref>AA70:AI70</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2C2E1FF6-E603-4B4F-A3B4-40E382C6E48D}">
          <x14:formula1>
            <xm:f>Tables!$B$8</xm:f>
          </x14:formula1>
          <xm:sqref>AF7:AK7 G10 N10 Z10 AH10 AG14:AI15 AG17 AJ17 Y19 AB19 AG19:AK19 AB22:AD24 AG22:AI24 AD26 AB29:AD30 AG29:AI30 AD32 AG34:AI35 AD37 AG39 AJ39 Y42:AA44 AH43:AJ44 Y48:AA49 AH48:AJ49 AC52:AE53 AH52:AJ53 Y66:AA67 AH66:AJ67 X71:Y71 X73:Y73 AE71:AF71 AF73 AI73 AD76:AG77 AD80:AF80 V85:X98 AA85:AD98 AG85:AJ98 I117:L122 N117:Q122 S117:V122 X117:AA122 AC117:AF122 AH117:AK122 B125:AK131 F134:V138 Z136:AC136 AE138:AI138 AH136:AK136 AD140 AH143:AK143 AE144:AK144 AE145:AI145 Z143:AC143 F141:V145 C155 C157 C159 C161 C163 C165 C167 C169 C171 E171 E169 E167 E165 E163 E161 E159 E157 E155 Y157:Z157 Y159:Z159 Y161:Z161 Y163:Z163 Y165:Z165 Y167:Z167 Y169:Z169 Y171:Z171 AC171:AI171 AC169:AI169 AC167:AI167 AC165:AI165 AC163:AI163 AC161:AI161 AC159:AI159 AC157:AI157 E178:Y182 E183:I183 AC185:AG185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Form 2D - Design</vt:lpstr>
      <vt:lpstr>Form 2D.2 - Design Attachment</vt:lpstr>
      <vt:lpstr>Form 3D - As-built</vt:lpstr>
      <vt:lpstr>Material</vt:lpstr>
      <vt:lpstr>'Form 2D - Design'!Print_Area</vt:lpstr>
      <vt:lpstr>'Form 2D.2 - Design Attachment'!Print_Area</vt:lpstr>
      <vt:lpstr>'Form 3D - As-built'!Print_Area</vt:lpstr>
      <vt:lpstr>'Form 2D - Design'!Print_Titles</vt:lpstr>
      <vt:lpstr>'Form 2D.2 - Design Attachment'!Print_Titles</vt:lpstr>
      <vt:lpstr>'Form 3D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2025-10-10T14:27:51Z</cp:lastPrinted>
  <dcterms:created xsi:type="dcterms:W3CDTF">2021-11-21T16:55:43Z</dcterms:created>
  <dcterms:modified xsi:type="dcterms:W3CDTF">2026-01-08T15:16:26Z</dcterms:modified>
</cp:coreProperties>
</file>